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books\"/>
    </mc:Choice>
  </mc:AlternateContent>
  <xr:revisionPtr revIDLastSave="0" documentId="13_ncr:1_{B3FEA42C-1F2C-4A5D-8CF3-2E319362B596}" xr6:coauthVersionLast="47" xr6:coauthVersionMax="47" xr10:uidLastSave="{00000000-0000-0000-0000-000000000000}"/>
  <bookViews>
    <workbookView xWindow="38400" yWindow="-5604" windowWidth="15360" windowHeight="17280" activeTab="14" xr2:uid="{BB5BEEF0-2F76-4BD3-9C80-1C3A3C343D0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definedNames>
    <definedName name="a">'12'!$E$25</definedName>
    <definedName name="a_i_Вес">'2'!$K$12:$K$21</definedName>
    <definedName name="a_i_Рост">'2'!$C$12:$C$21</definedName>
    <definedName name="a_i_середины">'9'!$C$22:$C$31</definedName>
    <definedName name="b">'12'!$E$26</definedName>
    <definedName name="F__c_i_Вес">'2'!$O$12:$O$21</definedName>
    <definedName name="F__c_i_Рост">'2'!$G$12:$G$21</definedName>
    <definedName name="v_i_n_Вес">'2'!$M$12:$M$21</definedName>
    <definedName name="v_i_n_Рост">'2'!$E$12:$E$21</definedName>
    <definedName name="v_i_Рост">'2'!$D$12:$D$21</definedName>
    <definedName name="Y_x">'9'!$O$22:$O$31</definedName>
    <definedName name="Вес">'1'!$C$2:$C$201</definedName>
    <definedName name="Вес_ранжир">'1'!$P$2:$P$201</definedName>
    <definedName name="внутригрупповая_дисперсия">'10'!$E$23</definedName>
    <definedName name="выборочный_коэфф_корреляции">'12'!$G$20</definedName>
    <definedName name="Дисперсия_выборки_Вес">'4'!$J$28</definedName>
    <definedName name="Дисперсия_выборки_Рост">'4'!$B$28</definedName>
    <definedName name="интервалыРост">'2'!$A$11:$D$21</definedName>
    <definedName name="интервальныйРядРост">'2'!$A$11:$G$21</definedName>
    <definedName name="Исправленная_дисперсия_Вес">'4'!$J$29</definedName>
    <definedName name="Исправленная_дисперсия_Рост">'4'!$B$29</definedName>
    <definedName name="Исправленное_СКО_Рост">'4'!$B$31</definedName>
    <definedName name="количество_интервалов">'2'!$B$1</definedName>
    <definedName name="межгрупповая_дисперсия">'10'!$E$22</definedName>
    <definedName name="Мода_Вес">'4'!$J$32</definedName>
    <definedName name="Мода_Рост">'4'!$B$32</definedName>
    <definedName name="Мощность">'1'!$F$1</definedName>
    <definedName name="показатель_надежности__γ">'6'!$B$2</definedName>
    <definedName name="Рост">'1'!$B$2:$B$201</definedName>
    <definedName name="Рост_ранжир">'1'!$I$2:$I$201</definedName>
    <definedName name="с_i_Вес">'2'!$N$12:$N$21</definedName>
    <definedName name="с_i_Рост">'2'!$F$12:$F$21</definedName>
    <definedName name="серединная_корреляционная_табл">'9'!$C$21:$O$31</definedName>
    <definedName name="СКО_Вес">'4'!$J$30</definedName>
    <definedName name="СКО_Рост">'4'!$B$30</definedName>
    <definedName name="Среднее_выборочное_Вес">'4'!$J$27</definedName>
    <definedName name="Среднее_выборочное_Рост">'4'!$B$27</definedName>
    <definedName name="СРЗНАЧ_eps">'15'!$W$203</definedName>
    <definedName name="СРЗНАЧ_X">'15'!$P$203</definedName>
    <definedName name="СРЗНАЧ_XX">'15'!$R$203</definedName>
    <definedName name="СРЗНАЧ_XY">'15'!$T$203</definedName>
    <definedName name="СРЗНАЧ_Y">'15'!$Q$203</definedName>
    <definedName name="СРЗНАЧ_Y_регрессия">'15'!$U$203</definedName>
    <definedName name="СРЗНАЧ_YY">'15'!$S$203</definedName>
    <definedName name="СРЗНАЧ_кв_eps">'15'!$X$203</definedName>
    <definedName name="СРЗНАЧ_кв_Y_регрессия">'15'!$V$203</definedName>
    <definedName name="степень_свободы">'7'!$J$24</definedName>
    <definedName name="уровень_значимости">'7'!$J$23</definedName>
    <definedName name="частотная_таблица_выборочные_средние">'10'!$B$6:$N$16</definedName>
    <definedName name="частоты_корреляции">'9'!$D$7:$M$16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15" l="1"/>
  <c r="D45" i="15"/>
  <c r="L39" i="15"/>
  <c r="K39" i="15"/>
  <c r="L38" i="15"/>
  <c r="K38" i="15"/>
  <c r="N33" i="15"/>
  <c r="N30" i="15"/>
  <c r="N29" i="15"/>
  <c r="K27" i="15"/>
  <c r="J13" i="15"/>
  <c r="J12" i="15"/>
  <c r="K26" i="15"/>
  <c r="K20" i="15"/>
  <c r="K22" i="15" s="1"/>
  <c r="K19" i="15"/>
  <c r="K24" i="15" s="1"/>
  <c r="K25" i="15" s="1"/>
  <c r="W3" i="15"/>
  <c r="X203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X19" i="15"/>
  <c r="X20" i="15"/>
  <c r="X21" i="15"/>
  <c r="X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53" i="15"/>
  <c r="X54" i="15"/>
  <c r="X55" i="15"/>
  <c r="X56" i="15"/>
  <c r="X57" i="15"/>
  <c r="X58" i="15"/>
  <c r="X59" i="15"/>
  <c r="X60" i="15"/>
  <c r="X61" i="15"/>
  <c r="X62" i="15"/>
  <c r="X63" i="15"/>
  <c r="X64" i="15"/>
  <c r="X65" i="15"/>
  <c r="X66" i="15"/>
  <c r="X67" i="15"/>
  <c r="X68" i="15"/>
  <c r="X69" i="15"/>
  <c r="X70" i="15"/>
  <c r="X71" i="15"/>
  <c r="X72" i="15"/>
  <c r="X73" i="15"/>
  <c r="X74" i="15"/>
  <c r="X75" i="15"/>
  <c r="X76" i="15"/>
  <c r="X77" i="15"/>
  <c r="X78" i="15"/>
  <c r="X79" i="15"/>
  <c r="X80" i="15"/>
  <c r="X81" i="15"/>
  <c r="X82" i="15"/>
  <c r="X83" i="15"/>
  <c r="X84" i="15"/>
  <c r="X85" i="15"/>
  <c r="X86" i="15"/>
  <c r="X87" i="15"/>
  <c r="X88" i="15"/>
  <c r="X89" i="15"/>
  <c r="X90" i="15"/>
  <c r="X91" i="15"/>
  <c r="X92" i="15"/>
  <c r="X93" i="15"/>
  <c r="X94" i="15"/>
  <c r="X95" i="15"/>
  <c r="X96" i="15"/>
  <c r="X97" i="15"/>
  <c r="X98" i="15"/>
  <c r="X99" i="15"/>
  <c r="X100" i="15"/>
  <c r="X101" i="15"/>
  <c r="X102" i="15"/>
  <c r="X103" i="15"/>
  <c r="X104" i="15"/>
  <c r="X105" i="15"/>
  <c r="X106" i="15"/>
  <c r="X107" i="15"/>
  <c r="X108" i="15"/>
  <c r="X109" i="15"/>
  <c r="X110" i="15"/>
  <c r="X111" i="15"/>
  <c r="X112" i="15"/>
  <c r="X113" i="15"/>
  <c r="X114" i="15"/>
  <c r="X115" i="15"/>
  <c r="X116" i="15"/>
  <c r="X117" i="15"/>
  <c r="X118" i="15"/>
  <c r="X119" i="15"/>
  <c r="X120" i="15"/>
  <c r="X121" i="15"/>
  <c r="X122" i="15"/>
  <c r="X123" i="15"/>
  <c r="X124" i="15"/>
  <c r="X125" i="15"/>
  <c r="X126" i="15"/>
  <c r="X127" i="15"/>
  <c r="X128" i="15"/>
  <c r="X129" i="15"/>
  <c r="X130" i="15"/>
  <c r="X131" i="15"/>
  <c r="X132" i="15"/>
  <c r="X133" i="15"/>
  <c r="X134" i="15"/>
  <c r="X135" i="15"/>
  <c r="X136" i="15"/>
  <c r="X137" i="15"/>
  <c r="X138" i="15"/>
  <c r="X139" i="15"/>
  <c r="X140" i="15"/>
  <c r="X141" i="15"/>
  <c r="X142" i="15"/>
  <c r="X143" i="15"/>
  <c r="X144" i="15"/>
  <c r="X145" i="15"/>
  <c r="X146" i="15"/>
  <c r="X147" i="15"/>
  <c r="X148" i="15"/>
  <c r="X149" i="15"/>
  <c r="X150" i="15"/>
  <c r="X151" i="15"/>
  <c r="X152" i="15"/>
  <c r="X153" i="15"/>
  <c r="X154" i="15"/>
  <c r="X155" i="15"/>
  <c r="X156" i="15"/>
  <c r="X157" i="15"/>
  <c r="X158" i="15"/>
  <c r="X159" i="15"/>
  <c r="X160" i="15"/>
  <c r="X161" i="15"/>
  <c r="X162" i="15"/>
  <c r="X163" i="15"/>
  <c r="X164" i="15"/>
  <c r="X165" i="15"/>
  <c r="X166" i="15"/>
  <c r="X167" i="15"/>
  <c r="X168" i="15"/>
  <c r="X169" i="15"/>
  <c r="X170" i="15"/>
  <c r="X171" i="15"/>
  <c r="X172" i="15"/>
  <c r="X173" i="15"/>
  <c r="X174" i="15"/>
  <c r="X175" i="15"/>
  <c r="X176" i="15"/>
  <c r="X177" i="15"/>
  <c r="X178" i="15"/>
  <c r="X179" i="15"/>
  <c r="X180" i="15"/>
  <c r="X181" i="15"/>
  <c r="X182" i="15"/>
  <c r="X183" i="15"/>
  <c r="X184" i="15"/>
  <c r="X185" i="15"/>
  <c r="X186" i="15"/>
  <c r="X187" i="15"/>
  <c r="X188" i="15"/>
  <c r="X189" i="15"/>
  <c r="X190" i="15"/>
  <c r="X191" i="15"/>
  <c r="X192" i="15"/>
  <c r="X193" i="15"/>
  <c r="X194" i="15"/>
  <c r="X195" i="15"/>
  <c r="X196" i="15"/>
  <c r="X197" i="15"/>
  <c r="X198" i="15"/>
  <c r="X199" i="15"/>
  <c r="X200" i="15"/>
  <c r="X201" i="15"/>
  <c r="X202" i="15"/>
  <c r="X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108" i="15"/>
  <c r="W109" i="15"/>
  <c r="W110" i="15"/>
  <c r="W111" i="15"/>
  <c r="W112" i="15"/>
  <c r="W113" i="15"/>
  <c r="W114" i="15"/>
  <c r="W115" i="15"/>
  <c r="W116" i="15"/>
  <c r="W117" i="15"/>
  <c r="W118" i="15"/>
  <c r="W119" i="15"/>
  <c r="W120" i="15"/>
  <c r="W121" i="15"/>
  <c r="W122" i="15"/>
  <c r="W123" i="15"/>
  <c r="W124" i="15"/>
  <c r="W125" i="15"/>
  <c r="W126" i="15"/>
  <c r="W127" i="15"/>
  <c r="W128" i="15"/>
  <c r="W129" i="15"/>
  <c r="W130" i="15"/>
  <c r="W131" i="15"/>
  <c r="W132" i="15"/>
  <c r="W133" i="15"/>
  <c r="W134" i="15"/>
  <c r="W135" i="15"/>
  <c r="W136" i="15"/>
  <c r="W137" i="15"/>
  <c r="W138" i="15"/>
  <c r="W139" i="15"/>
  <c r="W140" i="15"/>
  <c r="W141" i="15"/>
  <c r="W142" i="15"/>
  <c r="W143" i="15"/>
  <c r="W144" i="15"/>
  <c r="W145" i="15"/>
  <c r="W146" i="15"/>
  <c r="W147" i="15"/>
  <c r="W148" i="15"/>
  <c r="W149" i="15"/>
  <c r="W150" i="15"/>
  <c r="W151" i="15"/>
  <c r="W152" i="15"/>
  <c r="W153" i="15"/>
  <c r="W154" i="15"/>
  <c r="W155" i="15"/>
  <c r="W156" i="15"/>
  <c r="W157" i="15"/>
  <c r="W158" i="15"/>
  <c r="W159" i="15"/>
  <c r="W160" i="15"/>
  <c r="W161" i="15"/>
  <c r="W162" i="15"/>
  <c r="W163" i="15"/>
  <c r="W164" i="15"/>
  <c r="W165" i="15"/>
  <c r="W166" i="15"/>
  <c r="W167" i="15"/>
  <c r="W168" i="15"/>
  <c r="W169" i="15"/>
  <c r="W170" i="15"/>
  <c r="W171" i="15"/>
  <c r="W172" i="15"/>
  <c r="W173" i="15"/>
  <c r="W174" i="15"/>
  <c r="W175" i="15"/>
  <c r="W176" i="15"/>
  <c r="W177" i="15"/>
  <c r="W178" i="15"/>
  <c r="W179" i="15"/>
  <c r="W180" i="15"/>
  <c r="W181" i="15"/>
  <c r="W182" i="15"/>
  <c r="W183" i="15"/>
  <c r="W184" i="15"/>
  <c r="W185" i="15"/>
  <c r="W186" i="15"/>
  <c r="W187" i="15"/>
  <c r="W188" i="15"/>
  <c r="W189" i="15"/>
  <c r="W190" i="15"/>
  <c r="W191" i="15"/>
  <c r="W192" i="15"/>
  <c r="W193" i="15"/>
  <c r="W194" i="15"/>
  <c r="W195" i="15"/>
  <c r="W196" i="15"/>
  <c r="W197" i="15"/>
  <c r="W198" i="15"/>
  <c r="W199" i="15"/>
  <c r="W200" i="15"/>
  <c r="W201" i="15"/>
  <c r="W202" i="15"/>
  <c r="W203" i="15"/>
  <c r="Q203" i="15"/>
  <c r="R203" i="15"/>
  <c r="S203" i="15"/>
  <c r="T203" i="15"/>
  <c r="U203" i="15"/>
  <c r="V203" i="15"/>
  <c r="P203" i="15"/>
  <c r="T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24" i="15"/>
  <c r="V25" i="15"/>
  <c r="V26" i="15"/>
  <c r="V27" i="15"/>
  <c r="V28" i="15"/>
  <c r="V29" i="15"/>
  <c r="V30" i="15"/>
  <c r="V31" i="15"/>
  <c r="V32" i="15"/>
  <c r="V33" i="15"/>
  <c r="V34" i="15"/>
  <c r="V35" i="15"/>
  <c r="V36" i="15"/>
  <c r="V37" i="15"/>
  <c r="V38" i="15"/>
  <c r="V39" i="15"/>
  <c r="V40" i="15"/>
  <c r="V41" i="15"/>
  <c r="V42" i="15"/>
  <c r="V43" i="15"/>
  <c r="V44" i="15"/>
  <c r="V45" i="15"/>
  <c r="V46" i="15"/>
  <c r="V47" i="15"/>
  <c r="V48" i="15"/>
  <c r="V49" i="15"/>
  <c r="V50" i="15"/>
  <c r="V51" i="15"/>
  <c r="V52" i="15"/>
  <c r="V53" i="15"/>
  <c r="V54" i="15"/>
  <c r="V55" i="15"/>
  <c r="V56" i="15"/>
  <c r="V57" i="15"/>
  <c r="V58" i="15"/>
  <c r="V59" i="15"/>
  <c r="V60" i="15"/>
  <c r="V61" i="15"/>
  <c r="V62" i="15"/>
  <c r="V63" i="15"/>
  <c r="V64" i="15"/>
  <c r="V65" i="15"/>
  <c r="V66" i="15"/>
  <c r="V67" i="15"/>
  <c r="V68" i="15"/>
  <c r="V69" i="15"/>
  <c r="V70" i="15"/>
  <c r="V71" i="15"/>
  <c r="V72" i="15"/>
  <c r="V73" i="15"/>
  <c r="V74" i="15"/>
  <c r="V75" i="15"/>
  <c r="V76" i="15"/>
  <c r="V77" i="15"/>
  <c r="V78" i="15"/>
  <c r="V79" i="15"/>
  <c r="V80" i="15"/>
  <c r="V81" i="15"/>
  <c r="V82" i="15"/>
  <c r="V83" i="15"/>
  <c r="V84" i="15"/>
  <c r="V85" i="15"/>
  <c r="V86" i="15"/>
  <c r="V87" i="15"/>
  <c r="V88" i="15"/>
  <c r="V89" i="15"/>
  <c r="V90" i="15"/>
  <c r="V91" i="15"/>
  <c r="V92" i="15"/>
  <c r="V93" i="15"/>
  <c r="V94" i="15"/>
  <c r="V95" i="15"/>
  <c r="V96" i="15"/>
  <c r="V97" i="15"/>
  <c r="V98" i="15"/>
  <c r="V99" i="15"/>
  <c r="V100" i="15"/>
  <c r="V101" i="15"/>
  <c r="V102" i="15"/>
  <c r="V103" i="15"/>
  <c r="V104" i="15"/>
  <c r="V105" i="15"/>
  <c r="V106" i="15"/>
  <c r="V107" i="15"/>
  <c r="V108" i="15"/>
  <c r="V109" i="15"/>
  <c r="V110" i="15"/>
  <c r="V111" i="15"/>
  <c r="V112" i="15"/>
  <c r="V113" i="15"/>
  <c r="V114" i="15"/>
  <c r="V115" i="15"/>
  <c r="V116" i="15"/>
  <c r="V117" i="15"/>
  <c r="V118" i="15"/>
  <c r="V119" i="15"/>
  <c r="V120" i="15"/>
  <c r="V121" i="15"/>
  <c r="V122" i="15"/>
  <c r="V123" i="15"/>
  <c r="V124" i="15"/>
  <c r="V125" i="15"/>
  <c r="V126" i="15"/>
  <c r="V127" i="15"/>
  <c r="V128" i="15"/>
  <c r="V129" i="15"/>
  <c r="V130" i="15"/>
  <c r="V131" i="15"/>
  <c r="V132" i="15"/>
  <c r="V133" i="15"/>
  <c r="V134" i="15"/>
  <c r="V135" i="15"/>
  <c r="V136" i="15"/>
  <c r="V137" i="15"/>
  <c r="V138" i="15"/>
  <c r="V139" i="15"/>
  <c r="V140" i="15"/>
  <c r="V141" i="15"/>
  <c r="V142" i="15"/>
  <c r="V143" i="15"/>
  <c r="V144" i="15"/>
  <c r="V145" i="15"/>
  <c r="V146" i="15"/>
  <c r="V147" i="15"/>
  <c r="V148" i="15"/>
  <c r="V149" i="15"/>
  <c r="V150" i="15"/>
  <c r="V151" i="15"/>
  <c r="V152" i="15"/>
  <c r="V153" i="15"/>
  <c r="V154" i="15"/>
  <c r="V155" i="15"/>
  <c r="V156" i="15"/>
  <c r="V157" i="15"/>
  <c r="V158" i="15"/>
  <c r="V159" i="15"/>
  <c r="V160" i="15"/>
  <c r="V161" i="15"/>
  <c r="V162" i="15"/>
  <c r="V163" i="15"/>
  <c r="V164" i="15"/>
  <c r="V165" i="15"/>
  <c r="V166" i="15"/>
  <c r="V167" i="15"/>
  <c r="V168" i="15"/>
  <c r="V169" i="15"/>
  <c r="V170" i="15"/>
  <c r="V171" i="15"/>
  <c r="V172" i="15"/>
  <c r="V173" i="15"/>
  <c r="V174" i="15"/>
  <c r="V175" i="15"/>
  <c r="V176" i="15"/>
  <c r="V177" i="15"/>
  <c r="V178" i="15"/>
  <c r="V179" i="15"/>
  <c r="V180" i="15"/>
  <c r="V181" i="15"/>
  <c r="V182" i="15"/>
  <c r="V183" i="15"/>
  <c r="V184" i="15"/>
  <c r="V185" i="15"/>
  <c r="V186" i="15"/>
  <c r="V187" i="15"/>
  <c r="V188" i="15"/>
  <c r="V189" i="15"/>
  <c r="V190" i="15"/>
  <c r="V191" i="15"/>
  <c r="V192" i="15"/>
  <c r="V193" i="15"/>
  <c r="V194" i="15"/>
  <c r="V195" i="15"/>
  <c r="V196" i="15"/>
  <c r="V197" i="15"/>
  <c r="V198" i="15"/>
  <c r="V199" i="15"/>
  <c r="V200" i="15"/>
  <c r="V201" i="15"/>
  <c r="V202" i="15"/>
  <c r="V3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152" i="15"/>
  <c r="U153" i="15"/>
  <c r="U154" i="15"/>
  <c r="U155" i="15"/>
  <c r="U156" i="15"/>
  <c r="U157" i="15"/>
  <c r="U158" i="15"/>
  <c r="U159" i="15"/>
  <c r="U160" i="15"/>
  <c r="U161" i="15"/>
  <c r="U162" i="15"/>
  <c r="U163" i="15"/>
  <c r="U164" i="15"/>
  <c r="U165" i="15"/>
  <c r="U166" i="15"/>
  <c r="U167" i="15"/>
  <c r="U168" i="15"/>
  <c r="U169" i="15"/>
  <c r="U170" i="15"/>
  <c r="U171" i="15"/>
  <c r="U172" i="15"/>
  <c r="U173" i="15"/>
  <c r="U174" i="15"/>
  <c r="U175" i="15"/>
  <c r="U176" i="15"/>
  <c r="U177" i="15"/>
  <c r="U178" i="15"/>
  <c r="U179" i="15"/>
  <c r="U180" i="15"/>
  <c r="U181" i="15"/>
  <c r="U182" i="15"/>
  <c r="U183" i="15"/>
  <c r="U184" i="15"/>
  <c r="U185" i="15"/>
  <c r="U186" i="15"/>
  <c r="U187" i="15"/>
  <c r="U188" i="15"/>
  <c r="U189" i="15"/>
  <c r="U190" i="15"/>
  <c r="U191" i="15"/>
  <c r="U192" i="15"/>
  <c r="U193" i="15"/>
  <c r="U194" i="15"/>
  <c r="U195" i="15"/>
  <c r="U196" i="15"/>
  <c r="U197" i="15"/>
  <c r="U198" i="15"/>
  <c r="U199" i="15"/>
  <c r="U200" i="15"/>
  <c r="U201" i="15"/>
  <c r="U202" i="15"/>
  <c r="U3" i="15"/>
  <c r="T4" i="15"/>
  <c r="T5" i="15"/>
  <c r="T6" i="15"/>
  <c r="T7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8" i="15"/>
  <c r="T49" i="15"/>
  <c r="T50" i="15"/>
  <c r="T51" i="15"/>
  <c r="T52" i="15"/>
  <c r="T53" i="15"/>
  <c r="T54" i="15"/>
  <c r="T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71" i="15"/>
  <c r="T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88" i="15"/>
  <c r="T89" i="15"/>
  <c r="T90" i="15"/>
  <c r="T91" i="15"/>
  <c r="T92" i="15"/>
  <c r="T93" i="15"/>
  <c r="T94" i="15"/>
  <c r="T95" i="15"/>
  <c r="T96" i="15"/>
  <c r="T97" i="15"/>
  <c r="T98" i="15"/>
  <c r="T99" i="15"/>
  <c r="T100" i="15"/>
  <c r="T101" i="15"/>
  <c r="T102" i="15"/>
  <c r="T103" i="15"/>
  <c r="T104" i="15"/>
  <c r="T105" i="15"/>
  <c r="T106" i="15"/>
  <c r="T107" i="15"/>
  <c r="T108" i="15"/>
  <c r="T109" i="15"/>
  <c r="T110" i="15"/>
  <c r="T111" i="15"/>
  <c r="T112" i="15"/>
  <c r="T113" i="15"/>
  <c r="T114" i="15"/>
  <c r="T115" i="15"/>
  <c r="T116" i="15"/>
  <c r="T117" i="15"/>
  <c r="T118" i="15"/>
  <c r="T119" i="15"/>
  <c r="T120" i="15"/>
  <c r="T121" i="15"/>
  <c r="T122" i="15"/>
  <c r="T123" i="15"/>
  <c r="T124" i="15"/>
  <c r="T125" i="15"/>
  <c r="T126" i="15"/>
  <c r="T127" i="15"/>
  <c r="T128" i="15"/>
  <c r="T129" i="15"/>
  <c r="T130" i="15"/>
  <c r="T131" i="15"/>
  <c r="T132" i="15"/>
  <c r="T133" i="15"/>
  <c r="T134" i="15"/>
  <c r="T135" i="15"/>
  <c r="T136" i="15"/>
  <c r="T137" i="15"/>
  <c r="T138" i="15"/>
  <c r="T139" i="15"/>
  <c r="T140" i="15"/>
  <c r="T141" i="15"/>
  <c r="T142" i="15"/>
  <c r="T143" i="15"/>
  <c r="T144" i="15"/>
  <c r="T145" i="15"/>
  <c r="T146" i="15"/>
  <c r="T147" i="15"/>
  <c r="T148" i="15"/>
  <c r="T149" i="15"/>
  <c r="T150" i="15"/>
  <c r="T151" i="15"/>
  <c r="T152" i="15"/>
  <c r="T153" i="15"/>
  <c r="T154" i="15"/>
  <c r="T155" i="15"/>
  <c r="T156" i="15"/>
  <c r="T157" i="15"/>
  <c r="T158" i="15"/>
  <c r="T159" i="15"/>
  <c r="T160" i="15"/>
  <c r="T161" i="15"/>
  <c r="T162" i="15"/>
  <c r="T163" i="15"/>
  <c r="T164" i="15"/>
  <c r="T165" i="15"/>
  <c r="T166" i="15"/>
  <c r="T167" i="15"/>
  <c r="T168" i="15"/>
  <c r="T169" i="15"/>
  <c r="T170" i="15"/>
  <c r="T171" i="15"/>
  <c r="T172" i="15"/>
  <c r="T173" i="15"/>
  <c r="T174" i="15"/>
  <c r="T175" i="15"/>
  <c r="T176" i="15"/>
  <c r="T177" i="15"/>
  <c r="T178" i="15"/>
  <c r="T179" i="15"/>
  <c r="T180" i="15"/>
  <c r="T181" i="15"/>
  <c r="T182" i="15"/>
  <c r="T183" i="15"/>
  <c r="T184" i="15"/>
  <c r="T185" i="15"/>
  <c r="T186" i="15"/>
  <c r="T187" i="15"/>
  <c r="T188" i="15"/>
  <c r="T189" i="15"/>
  <c r="T190" i="15"/>
  <c r="T191" i="15"/>
  <c r="T192" i="15"/>
  <c r="T193" i="15"/>
  <c r="T194" i="15"/>
  <c r="T195" i="15"/>
  <c r="T196" i="15"/>
  <c r="T197" i="15"/>
  <c r="T198" i="15"/>
  <c r="T199" i="15"/>
  <c r="T200" i="15"/>
  <c r="T201" i="15"/>
  <c r="T202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88" i="15"/>
  <c r="S89" i="15"/>
  <c r="S90" i="15"/>
  <c r="S91" i="15"/>
  <c r="S92" i="15"/>
  <c r="S93" i="15"/>
  <c r="S94" i="15"/>
  <c r="S95" i="15"/>
  <c r="S96" i="15"/>
  <c r="S97" i="15"/>
  <c r="S98" i="15"/>
  <c r="S99" i="15"/>
  <c r="S100" i="15"/>
  <c r="S101" i="15"/>
  <c r="S102" i="15"/>
  <c r="S103" i="15"/>
  <c r="S104" i="15"/>
  <c r="S105" i="15"/>
  <c r="S106" i="15"/>
  <c r="S107" i="15"/>
  <c r="S108" i="15"/>
  <c r="S109" i="15"/>
  <c r="S110" i="15"/>
  <c r="S111" i="15"/>
  <c r="S112" i="15"/>
  <c r="S113" i="15"/>
  <c r="S114" i="15"/>
  <c r="S115" i="15"/>
  <c r="S116" i="15"/>
  <c r="S117" i="15"/>
  <c r="S118" i="15"/>
  <c r="S119" i="15"/>
  <c r="S120" i="15"/>
  <c r="S121" i="15"/>
  <c r="S122" i="15"/>
  <c r="S123" i="15"/>
  <c r="S124" i="15"/>
  <c r="S125" i="15"/>
  <c r="S126" i="15"/>
  <c r="S127" i="15"/>
  <c r="S128" i="15"/>
  <c r="S129" i="15"/>
  <c r="S130" i="15"/>
  <c r="S131" i="15"/>
  <c r="S132" i="15"/>
  <c r="S133" i="15"/>
  <c r="S134" i="15"/>
  <c r="S135" i="15"/>
  <c r="S136" i="15"/>
  <c r="S137" i="15"/>
  <c r="S138" i="15"/>
  <c r="S139" i="15"/>
  <c r="S140" i="15"/>
  <c r="S141" i="15"/>
  <c r="S142" i="15"/>
  <c r="S143" i="15"/>
  <c r="S144" i="15"/>
  <c r="S145" i="15"/>
  <c r="S146" i="15"/>
  <c r="S147" i="15"/>
  <c r="S148" i="15"/>
  <c r="S149" i="15"/>
  <c r="S150" i="15"/>
  <c r="S151" i="15"/>
  <c r="S152" i="15"/>
  <c r="S153" i="15"/>
  <c r="S154" i="15"/>
  <c r="S155" i="15"/>
  <c r="S156" i="15"/>
  <c r="S157" i="15"/>
  <c r="S158" i="15"/>
  <c r="S159" i="15"/>
  <c r="S160" i="15"/>
  <c r="S161" i="15"/>
  <c r="S162" i="15"/>
  <c r="S163" i="15"/>
  <c r="S164" i="15"/>
  <c r="S165" i="15"/>
  <c r="S166" i="15"/>
  <c r="S167" i="15"/>
  <c r="S168" i="15"/>
  <c r="S169" i="15"/>
  <c r="S170" i="15"/>
  <c r="S171" i="15"/>
  <c r="S172" i="15"/>
  <c r="S173" i="15"/>
  <c r="S174" i="15"/>
  <c r="S175" i="15"/>
  <c r="S176" i="15"/>
  <c r="S177" i="15"/>
  <c r="S178" i="15"/>
  <c r="S179" i="15"/>
  <c r="S180" i="15"/>
  <c r="S181" i="15"/>
  <c r="S182" i="15"/>
  <c r="S183" i="15"/>
  <c r="S184" i="15"/>
  <c r="S185" i="15"/>
  <c r="S186" i="15"/>
  <c r="S187" i="15"/>
  <c r="S188" i="15"/>
  <c r="S189" i="15"/>
  <c r="S190" i="15"/>
  <c r="S191" i="15"/>
  <c r="S192" i="15"/>
  <c r="S193" i="15"/>
  <c r="S194" i="15"/>
  <c r="S195" i="15"/>
  <c r="S196" i="15"/>
  <c r="S197" i="15"/>
  <c r="S198" i="15"/>
  <c r="S199" i="15"/>
  <c r="S200" i="15"/>
  <c r="S201" i="15"/>
  <c r="S202" i="15"/>
  <c r="S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125" i="15"/>
  <c r="R126" i="15"/>
  <c r="R127" i="15"/>
  <c r="R128" i="15"/>
  <c r="R129" i="15"/>
  <c r="R130" i="15"/>
  <c r="R131" i="15"/>
  <c r="R132" i="15"/>
  <c r="R133" i="15"/>
  <c r="R134" i="15"/>
  <c r="R135" i="15"/>
  <c r="R136" i="15"/>
  <c r="R137" i="15"/>
  <c r="R138" i="15"/>
  <c r="R139" i="15"/>
  <c r="R140" i="15"/>
  <c r="R141" i="15"/>
  <c r="R142" i="15"/>
  <c r="R143" i="15"/>
  <c r="R144" i="15"/>
  <c r="R145" i="15"/>
  <c r="R146" i="15"/>
  <c r="R147" i="15"/>
  <c r="R148" i="15"/>
  <c r="R149" i="15"/>
  <c r="R150" i="15"/>
  <c r="R151" i="15"/>
  <c r="R152" i="15"/>
  <c r="R153" i="15"/>
  <c r="R154" i="15"/>
  <c r="R155" i="15"/>
  <c r="R156" i="15"/>
  <c r="R157" i="15"/>
  <c r="R158" i="15"/>
  <c r="R159" i="15"/>
  <c r="R160" i="15"/>
  <c r="R161" i="15"/>
  <c r="R162" i="15"/>
  <c r="R163" i="15"/>
  <c r="R164" i="15"/>
  <c r="R165" i="15"/>
  <c r="R166" i="15"/>
  <c r="R167" i="15"/>
  <c r="R168" i="15"/>
  <c r="R169" i="15"/>
  <c r="R170" i="15"/>
  <c r="R171" i="15"/>
  <c r="R172" i="15"/>
  <c r="R173" i="15"/>
  <c r="R174" i="15"/>
  <c r="R175" i="15"/>
  <c r="R176" i="15"/>
  <c r="R177" i="15"/>
  <c r="R178" i="15"/>
  <c r="R179" i="15"/>
  <c r="R180" i="15"/>
  <c r="R181" i="15"/>
  <c r="R182" i="15"/>
  <c r="R183" i="15"/>
  <c r="R184" i="15"/>
  <c r="R185" i="15"/>
  <c r="R186" i="15"/>
  <c r="R187" i="15"/>
  <c r="R188" i="15"/>
  <c r="R189" i="15"/>
  <c r="R190" i="15"/>
  <c r="R191" i="15"/>
  <c r="R192" i="15"/>
  <c r="R193" i="15"/>
  <c r="R194" i="15"/>
  <c r="R195" i="15"/>
  <c r="R196" i="15"/>
  <c r="R197" i="15"/>
  <c r="R198" i="15"/>
  <c r="R199" i="15"/>
  <c r="R200" i="15"/>
  <c r="R201" i="15"/>
  <c r="R202" i="15"/>
  <c r="R3" i="15"/>
  <c r="Q3" i="15" a="1"/>
  <c r="Q3" i="15" s="1"/>
  <c r="P3" i="15" a="1"/>
  <c r="P3" i="15" s="1"/>
  <c r="D18" i="15"/>
  <c r="F9" i="6"/>
  <c r="I13" i="15"/>
  <c r="I12" i="15"/>
  <c r="I11" i="15"/>
  <c r="I10" i="15"/>
  <c r="I9" i="15"/>
  <c r="I8" i="15"/>
  <c r="I7" i="15"/>
  <c r="I6" i="15"/>
  <c r="I5" i="15"/>
  <c r="I4" i="15"/>
  <c r="C4" i="15" a="1"/>
  <c r="C4" i="15" s="1"/>
  <c r="I9" i="14"/>
  <c r="G9" i="14"/>
  <c r="E6" i="14"/>
  <c r="E7" i="14"/>
  <c r="H5" i="13" a="1"/>
  <c r="H5" i="13" s="1"/>
  <c r="I5" i="13" a="1"/>
  <c r="I5" i="13" s="1"/>
  <c r="F6" i="13"/>
  <c r="F5" i="13"/>
  <c r="E25" i="12"/>
  <c r="E26" i="12"/>
  <c r="G20" i="12"/>
  <c r="O18" i="12"/>
  <c r="O9" i="12"/>
  <c r="O10" i="12"/>
  <c r="O11" i="12"/>
  <c r="O12" i="12"/>
  <c r="O13" i="12"/>
  <c r="O14" i="12"/>
  <c r="O15" i="12"/>
  <c r="O16" i="12"/>
  <c r="O17" i="12"/>
  <c r="O8" i="12"/>
  <c r="B7" i="12" a="1"/>
  <c r="B7" i="12" s="1"/>
  <c r="D11" i="11"/>
  <c r="D10" i="11"/>
  <c r="D8" i="11"/>
  <c r="D7" i="11"/>
  <c r="D6" i="11"/>
  <c r="E25" i="10"/>
  <c r="E23" i="10"/>
  <c r="Q8" i="10"/>
  <c r="Q9" i="10"/>
  <c r="Q10" i="10"/>
  <c r="Q11" i="10"/>
  <c r="Q12" i="10"/>
  <c r="Q13" i="10"/>
  <c r="Q14" i="10"/>
  <c r="Q15" i="10"/>
  <c r="Q16" i="10"/>
  <c r="Q7" i="10"/>
  <c r="E22" i="10"/>
  <c r="P8" i="10"/>
  <c r="P9" i="10"/>
  <c r="P10" i="10"/>
  <c r="P11" i="10"/>
  <c r="P12" i="10"/>
  <c r="P13" i="10"/>
  <c r="P14" i="10"/>
  <c r="P15" i="10"/>
  <c r="P16" i="10"/>
  <c r="P7" i="10"/>
  <c r="E18" i="10"/>
  <c r="O32" i="9"/>
  <c r="N32" i="9"/>
  <c r="M32" i="9"/>
  <c r="L32" i="9"/>
  <c r="K32" i="9"/>
  <c r="J32" i="9"/>
  <c r="I32" i="9"/>
  <c r="H32" i="9"/>
  <c r="G32" i="9"/>
  <c r="F32" i="9"/>
  <c r="E32" i="9"/>
  <c r="D32" i="9"/>
  <c r="O8" i="10"/>
  <c r="O9" i="10"/>
  <c r="O10" i="10"/>
  <c r="O11" i="10"/>
  <c r="O12" i="10"/>
  <c r="O13" i="10"/>
  <c r="O14" i="10"/>
  <c r="O15" i="10"/>
  <c r="O16" i="10"/>
  <c r="O7" i="10"/>
  <c r="B6" i="10" a="1"/>
  <c r="B6" i="10" s="1"/>
  <c r="O23" i="9"/>
  <c r="O24" i="9"/>
  <c r="O25" i="9"/>
  <c r="O26" i="9"/>
  <c r="O27" i="9"/>
  <c r="O28" i="9"/>
  <c r="O29" i="9"/>
  <c r="O30" i="9"/>
  <c r="O31" i="9"/>
  <c r="O22" i="9"/>
  <c r="N31" i="9"/>
  <c r="N30" i="9"/>
  <c r="N29" i="9"/>
  <c r="N28" i="9"/>
  <c r="N27" i="9"/>
  <c r="N26" i="9"/>
  <c r="N25" i="9"/>
  <c r="N24" i="9"/>
  <c r="N23" i="9"/>
  <c r="N22" i="9"/>
  <c r="D22" i="9" a="1"/>
  <c r="D22" i="9" s="1"/>
  <c r="C31" i="9"/>
  <c r="M21" i="9"/>
  <c r="E21" i="9"/>
  <c r="F21" i="9"/>
  <c r="G21" i="9"/>
  <c r="H21" i="9"/>
  <c r="I21" i="9"/>
  <c r="J21" i="9"/>
  <c r="K21" i="9"/>
  <c r="L21" i="9"/>
  <c r="D21" i="9"/>
  <c r="C23" i="9"/>
  <c r="C24" i="9"/>
  <c r="C25" i="9"/>
  <c r="C26" i="9"/>
  <c r="C27" i="9"/>
  <c r="C28" i="9"/>
  <c r="C29" i="9"/>
  <c r="C30" i="9"/>
  <c r="C22" i="9"/>
  <c r="N17" i="9"/>
  <c r="E17" i="9"/>
  <c r="F17" i="9"/>
  <c r="G17" i="9"/>
  <c r="H17" i="9"/>
  <c r="I17" i="9"/>
  <c r="J17" i="9"/>
  <c r="K17" i="9"/>
  <c r="L17" i="9"/>
  <c r="M17" i="9"/>
  <c r="D17" i="9"/>
  <c r="N8" i="9"/>
  <c r="N9" i="9"/>
  <c r="N10" i="9"/>
  <c r="N11" i="9"/>
  <c r="N12" i="9"/>
  <c r="N13" i="9"/>
  <c r="N14" i="9"/>
  <c r="N15" i="9"/>
  <c r="N16" i="9"/>
  <c r="N7" i="9"/>
  <c r="D8" i="9"/>
  <c r="E8" i="9"/>
  <c r="F8" i="9"/>
  <c r="G8" i="9"/>
  <c r="H8" i="9"/>
  <c r="I8" i="9"/>
  <c r="J8" i="9"/>
  <c r="K8" i="9"/>
  <c r="L8" i="9"/>
  <c r="M8" i="9"/>
  <c r="D9" i="9"/>
  <c r="E9" i="9"/>
  <c r="F9" i="9"/>
  <c r="G9" i="9"/>
  <c r="H9" i="9"/>
  <c r="I9" i="9"/>
  <c r="J9" i="9"/>
  <c r="K9" i="9"/>
  <c r="L9" i="9"/>
  <c r="M9" i="9"/>
  <c r="D10" i="9"/>
  <c r="E10" i="9"/>
  <c r="F10" i="9"/>
  <c r="G10" i="9"/>
  <c r="H10" i="9"/>
  <c r="I10" i="9"/>
  <c r="J10" i="9"/>
  <c r="K10" i="9"/>
  <c r="L10" i="9"/>
  <c r="M10" i="9"/>
  <c r="D11" i="9"/>
  <c r="E11" i="9"/>
  <c r="F11" i="9"/>
  <c r="G11" i="9"/>
  <c r="H11" i="9"/>
  <c r="I11" i="9"/>
  <c r="J11" i="9"/>
  <c r="K11" i="9"/>
  <c r="L11" i="9"/>
  <c r="M11" i="9"/>
  <c r="D12" i="9"/>
  <c r="E12" i="9"/>
  <c r="F12" i="9"/>
  <c r="G12" i="9"/>
  <c r="H12" i="9"/>
  <c r="I12" i="9"/>
  <c r="J12" i="9"/>
  <c r="K12" i="9"/>
  <c r="L12" i="9"/>
  <c r="M12" i="9"/>
  <c r="D13" i="9"/>
  <c r="E13" i="9"/>
  <c r="F13" i="9"/>
  <c r="G13" i="9"/>
  <c r="H13" i="9"/>
  <c r="I13" i="9"/>
  <c r="J13" i="9"/>
  <c r="K13" i="9"/>
  <c r="L13" i="9"/>
  <c r="M13" i="9"/>
  <c r="D14" i="9"/>
  <c r="E14" i="9"/>
  <c r="F14" i="9"/>
  <c r="G14" i="9"/>
  <c r="H14" i="9"/>
  <c r="I14" i="9"/>
  <c r="J14" i="9"/>
  <c r="K14" i="9"/>
  <c r="L14" i="9"/>
  <c r="M14" i="9"/>
  <c r="D15" i="9"/>
  <c r="E15" i="9"/>
  <c r="F15" i="9"/>
  <c r="G15" i="9"/>
  <c r="H15" i="9"/>
  <c r="I15" i="9"/>
  <c r="J15" i="9"/>
  <c r="K15" i="9"/>
  <c r="L15" i="9"/>
  <c r="M15" i="9"/>
  <c r="D16" i="9"/>
  <c r="E16" i="9"/>
  <c r="F16" i="9"/>
  <c r="G16" i="9"/>
  <c r="H16" i="9"/>
  <c r="I16" i="9"/>
  <c r="J16" i="9"/>
  <c r="K16" i="9"/>
  <c r="L16" i="9"/>
  <c r="M16" i="9"/>
  <c r="E7" i="9"/>
  <c r="F7" i="9"/>
  <c r="G7" i="9"/>
  <c r="H7" i="9"/>
  <c r="I7" i="9"/>
  <c r="J7" i="9"/>
  <c r="K7" i="9"/>
  <c r="L7" i="9"/>
  <c r="M7" i="9"/>
  <c r="D7" i="9"/>
  <c r="F5" i="9"/>
  <c r="G5" i="9"/>
  <c r="H5" i="9"/>
  <c r="I5" i="9"/>
  <c r="J5" i="9"/>
  <c r="K5" i="9"/>
  <c r="L5" i="9"/>
  <c r="M5" i="9"/>
  <c r="E5" i="9"/>
  <c r="J25" i="7"/>
  <c r="J24" i="7"/>
  <c r="O16" i="7"/>
  <c r="O15" i="7"/>
  <c r="O12" i="7"/>
  <c r="O11" i="7"/>
  <c r="O13" i="7"/>
  <c r="O14" i="7"/>
  <c r="O10" i="7"/>
  <c r="N11" i="7"/>
  <c r="N12" i="7"/>
  <c r="N13" i="7"/>
  <c r="N14" i="7"/>
  <c r="N15" i="7"/>
  <c r="N10" i="7"/>
  <c r="M11" i="7"/>
  <c r="M12" i="7"/>
  <c r="M13" i="7"/>
  <c r="M14" i="7"/>
  <c r="M15" i="7"/>
  <c r="M10" i="7"/>
  <c r="L15" i="7"/>
  <c r="L11" i="7"/>
  <c r="L12" i="7"/>
  <c r="L13" i="7"/>
  <c r="L14" i="7"/>
  <c r="L10" i="7"/>
  <c r="K15" i="7"/>
  <c r="K12" i="7"/>
  <c r="K13" i="7"/>
  <c r="K14" i="7"/>
  <c r="K11" i="7"/>
  <c r="I15" i="7"/>
  <c r="H10" i="7"/>
  <c r="J16" i="7"/>
  <c r="J19" i="7"/>
  <c r="J18" i="7"/>
  <c r="B9" i="7" a="1"/>
  <c r="B9" i="7" s="1"/>
  <c r="K21" i="15" l="1"/>
  <c r="C6" i="13"/>
  <c r="C7" i="13"/>
  <c r="C5" i="13"/>
  <c r="C8" i="13"/>
  <c r="B16" i="6" a="1"/>
  <c r="B16" i="6" s="1"/>
  <c r="G11" i="6"/>
  <c r="F11" i="6"/>
  <c r="K23" i="15" l="1"/>
  <c r="G20" i="15"/>
  <c r="F13" i="6"/>
  <c r="G13" i="6"/>
  <c r="G10" i="6"/>
  <c r="F10" i="6"/>
  <c r="G9" i="6"/>
  <c r="D14" i="6"/>
  <c r="D13" i="6"/>
  <c r="D12" i="6"/>
  <c r="D11" i="6"/>
  <c r="E12" i="6"/>
  <c r="E14" i="6"/>
  <c r="E13" i="6"/>
  <c r="E11" i="6"/>
  <c r="E10" i="6"/>
  <c r="D10" i="6" s="1"/>
  <c r="E9" i="6"/>
  <c r="D9" i="6" s="1"/>
  <c r="F14" i="5"/>
  <c r="F13" i="5"/>
  <c r="F12" i="5"/>
  <c r="F11" i="5"/>
  <c r="F10" i="5"/>
  <c r="F9" i="5"/>
  <c r="C14" i="5"/>
  <c r="C13" i="5"/>
  <c r="C12" i="5"/>
  <c r="C11" i="5"/>
  <c r="H22" i="15" l="1"/>
  <c r="G22" i="15"/>
  <c r="C10" i="5"/>
  <c r="C9" i="5"/>
  <c r="J31" i="4"/>
  <c r="J30" i="4"/>
  <c r="J29" i="4"/>
  <c r="J28" i="4"/>
  <c r="J32" i="4"/>
  <c r="J27" i="4"/>
  <c r="N14" i="4"/>
  <c r="N23" i="4"/>
  <c r="N24" i="4" s="1"/>
  <c r="O23" i="4"/>
  <c r="J23" i="4"/>
  <c r="N21" i="4"/>
  <c r="O21" i="4" s="1"/>
  <c r="N20" i="4"/>
  <c r="O20" i="4" s="1"/>
  <c r="N19" i="4"/>
  <c r="O19" i="4" s="1"/>
  <c r="N18" i="4"/>
  <c r="O18" i="4" s="1"/>
  <c r="N17" i="4"/>
  <c r="O17" i="4" s="1"/>
  <c r="N16" i="4"/>
  <c r="O16" i="4" s="1"/>
  <c r="N15" i="4"/>
  <c r="O15" i="4" s="1"/>
  <c r="O14" i="4"/>
  <c r="N13" i="4"/>
  <c r="O13" i="4" s="1"/>
  <c r="N12" i="4"/>
  <c r="O12" i="4" s="1"/>
  <c r="J12" i="4" a="1"/>
  <c r="J12" i="4" s="1"/>
  <c r="O24" i="4"/>
  <c r="J24" i="4"/>
  <c r="B32" i="4"/>
  <c r="B31" i="4"/>
  <c r="B30" i="4"/>
  <c r="B29" i="4"/>
  <c r="B24" i="4"/>
  <c r="B23" i="4"/>
  <c r="B28" i="4"/>
  <c r="G24" i="4"/>
  <c r="F24" i="4"/>
  <c r="B27" i="4"/>
  <c r="G23" i="4"/>
  <c r="G13" i="4"/>
  <c r="G14" i="4"/>
  <c r="G15" i="4"/>
  <c r="G16" i="4"/>
  <c r="G17" i="4"/>
  <c r="G18" i="4"/>
  <c r="G19" i="4"/>
  <c r="G20" i="4"/>
  <c r="G21" i="4"/>
  <c r="G12" i="4"/>
  <c r="F23" i="4"/>
  <c r="F13" i="4"/>
  <c r="F14" i="4"/>
  <c r="F15" i="4"/>
  <c r="F16" i="4"/>
  <c r="F17" i="4"/>
  <c r="F18" i="4"/>
  <c r="F19" i="4"/>
  <c r="F20" i="4"/>
  <c r="F21" i="4"/>
  <c r="F12" i="4"/>
  <c r="B12" i="4" a="1"/>
  <c r="B12" i="4" s="1"/>
  <c r="K9" i="4"/>
  <c r="C9" i="4"/>
  <c r="K6" i="4"/>
  <c r="C6" i="4"/>
  <c r="K5" i="4"/>
  <c r="K7" i="4" s="1"/>
  <c r="K8" i="4" s="1"/>
  <c r="C5" i="4"/>
  <c r="C7" i="4" s="1"/>
  <c r="C8" i="4" s="1"/>
  <c r="K21" i="2"/>
  <c r="K13" i="2"/>
  <c r="K12" i="2"/>
  <c r="K7" i="2"/>
  <c r="K6" i="2"/>
  <c r="J12" i="2" s="1"/>
  <c r="K5" i="2"/>
  <c r="K9" i="2"/>
  <c r="G14" i="2"/>
  <c r="G15" i="2" s="1"/>
  <c r="G16" i="2" s="1"/>
  <c r="G17" i="2" s="1"/>
  <c r="G18" i="2" s="1"/>
  <c r="G19" i="2" s="1"/>
  <c r="G20" i="2" s="1"/>
  <c r="G21" i="2" s="1"/>
  <c r="G13" i="2"/>
  <c r="G12" i="2"/>
  <c r="C8" i="2"/>
  <c r="C6" i="2"/>
  <c r="B12" i="2" s="1"/>
  <c r="C5" i="2"/>
  <c r="C7" i="2" s="1"/>
  <c r="C9" i="2"/>
  <c r="R34" i="1"/>
  <c r="R2" i="1" a="1"/>
  <c r="R2" i="1" s="1"/>
  <c r="L34" i="1"/>
  <c r="L2" i="1" a="1"/>
  <c r="L2" i="1" s="1"/>
  <c r="K8" i="2" l="1"/>
  <c r="C12" i="2"/>
  <c r="J13" i="2" l="1"/>
  <c r="N12" i="2"/>
  <c r="B13" i="2"/>
  <c r="F12" i="2"/>
  <c r="C13" i="2" l="1"/>
  <c r="F13" i="2" s="1"/>
  <c r="J14" i="2" l="1"/>
  <c r="K14" i="2" s="1"/>
  <c r="N13" i="2"/>
  <c r="B14" i="2"/>
  <c r="C14" i="2" l="1"/>
  <c r="F14" i="2" s="1"/>
  <c r="N14" i="2" l="1"/>
  <c r="J15" i="2"/>
  <c r="K15" i="2" s="1"/>
  <c r="B15" i="2"/>
  <c r="C15" i="2" l="1"/>
  <c r="F15" i="2"/>
  <c r="J16" i="2" l="1"/>
  <c r="K16" i="2" s="1"/>
  <c r="N15" i="2"/>
  <c r="B16" i="2"/>
  <c r="C16" i="2" l="1"/>
  <c r="F16" i="2" s="1"/>
  <c r="J17" i="2" l="1"/>
  <c r="K17" i="2" s="1"/>
  <c r="N16" i="2"/>
  <c r="B17" i="2"/>
  <c r="J18" i="2" l="1"/>
  <c r="K18" i="2" s="1"/>
  <c r="C17" i="2"/>
  <c r="B18" i="2" s="1"/>
  <c r="F17" i="2"/>
  <c r="N17" i="2" l="1"/>
  <c r="J19" i="2"/>
  <c r="K19" i="2" s="1"/>
  <c r="C18" i="2"/>
  <c r="B19" i="2" s="1"/>
  <c r="N18" i="2" l="1"/>
  <c r="J20" i="2"/>
  <c r="K20" i="2" s="1"/>
  <c r="F18" i="2"/>
  <c r="C19" i="2"/>
  <c r="B20" i="2" s="1"/>
  <c r="F19" i="2"/>
  <c r="J21" i="2" l="1"/>
  <c r="N19" i="2"/>
  <c r="C20" i="2"/>
  <c r="B21" i="2" s="1"/>
  <c r="L12" i="2" l="1" a="1"/>
  <c r="L12" i="2" s="1"/>
  <c r="N20" i="2"/>
  <c r="F20" i="2"/>
  <c r="C21" i="2"/>
  <c r="D12" i="2" s="1" a="1"/>
  <c r="F21" i="2"/>
  <c r="M17" i="2" l="1"/>
  <c r="M14" i="2"/>
  <c r="M20" i="2"/>
  <c r="M15" i="2"/>
  <c r="M18" i="2"/>
  <c r="M21" i="2"/>
  <c r="M13" i="2"/>
  <c r="M16" i="2"/>
  <c r="M19" i="2"/>
  <c r="N21" i="2"/>
  <c r="D12" i="2"/>
  <c r="E17" i="2"/>
  <c r="E20" i="2"/>
  <c r="E21" i="2"/>
  <c r="E18" i="2"/>
  <c r="E13" i="2"/>
  <c r="E15" i="2"/>
  <c r="E16" i="2"/>
  <c r="E19" i="2"/>
  <c r="E14" i="2"/>
  <c r="L23" i="2" l="1"/>
  <c r="M12" i="2"/>
  <c r="D23" i="2"/>
  <c r="E12" i="2"/>
  <c r="E23" i="2" s="1"/>
  <c r="M23" i="2" l="1"/>
  <c r="O12" i="2"/>
  <c r="O13" i="2" s="1"/>
  <c r="O14" i="2" s="1"/>
  <c r="O15" i="2" s="1"/>
  <c r="O16" i="2" s="1"/>
  <c r="O17" i="2" s="1"/>
  <c r="O18" i="2" s="1"/>
  <c r="O19" i="2" s="1"/>
  <c r="O20" i="2" s="1"/>
  <c r="O21" i="2" s="1"/>
  <c r="F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<sst xmlns="http://schemas.openxmlformats.org/spreadsheetml/2006/main" count="303" uniqueCount="193">
  <si>
    <t>№</t>
  </si>
  <si>
    <t>Рост</t>
  </si>
  <si>
    <t>Вес</t>
  </si>
  <si>
    <t>Частота значений (Рост)</t>
  </si>
  <si>
    <t>Значения (Рост)</t>
  </si>
  <si>
    <t>Сумма:</t>
  </si>
  <si>
    <t>Значения (Вес)</t>
  </si>
  <si>
    <t>Частота значений (Вес)</t>
  </si>
  <si>
    <t>Мощность выборки:</t>
  </si>
  <si>
    <t>количество интервалов:</t>
  </si>
  <si>
    <t>MAX</t>
  </si>
  <si>
    <t>MIN</t>
  </si>
  <si>
    <t>h</t>
  </si>
  <si>
    <t>L</t>
  </si>
  <si>
    <t>N</t>
  </si>
  <si>
    <t>Размах выборки</t>
  </si>
  <si>
    <t>Длина интервала</t>
  </si>
  <si>
    <t>Мощность</t>
  </si>
  <si>
    <t>i</t>
  </si>
  <si>
    <t>a_(i-1)</t>
  </si>
  <si>
    <t>a_i</t>
  </si>
  <si>
    <t>v_i</t>
  </si>
  <si>
    <t>v_i/n</t>
  </si>
  <si>
    <t>с_i</t>
  </si>
  <si>
    <t>F*(c_i)</t>
  </si>
  <si>
    <t>Максимум выборки</t>
  </si>
  <si>
    <t>Минимум выборки</t>
  </si>
  <si>
    <t>СУММА:</t>
  </si>
  <si>
    <t>с_i*v_i</t>
  </si>
  <si>
    <t>CУММА:</t>
  </si>
  <si>
    <t>с_i*c_i*v_i</t>
  </si>
  <si>
    <t>Среднее выборочное (Рост):</t>
  </si>
  <si>
    <t>Дисперсия выборки (Рост):</t>
  </si>
  <si>
    <t>Нормализованная сумма:</t>
  </si>
  <si>
    <t>Исправленная дисперсия (Рост):</t>
  </si>
  <si>
    <t>СКО (Рост):</t>
  </si>
  <si>
    <t>Исправленное СКО (Рост):</t>
  </si>
  <si>
    <t>Мода (Рост):</t>
  </si>
  <si>
    <t>Среднее выборочное (Вес):</t>
  </si>
  <si>
    <t>Дисперсия выборки (Вес):</t>
  </si>
  <si>
    <t>Исправленная дисперсия (Вес):</t>
  </si>
  <si>
    <t>СКО (Вес):</t>
  </si>
  <si>
    <t>Исправленное СКО (Вес):</t>
  </si>
  <si>
    <t>Мода (Вес):</t>
  </si>
  <si>
    <t>Точечные оценки встроенными функциями EXCEL</t>
  </si>
  <si>
    <t>Медиана (Рост):</t>
  </si>
  <si>
    <t>Медиана (Вес):</t>
  </si>
  <si>
    <t>a</t>
  </si>
  <si>
    <t>σ²</t>
  </si>
  <si>
    <t>Параметр нормальной случ.величины роста</t>
  </si>
  <si>
    <t>Известные параметры</t>
  </si>
  <si>
    <t>*</t>
  </si>
  <si>
    <t>Квантиль</t>
  </si>
  <si>
    <t>показатель надежности (γ):</t>
  </si>
  <si>
    <t>Доверительный интервал</t>
  </si>
  <si>
    <t>левая граница</t>
  </si>
  <si>
    <t>правая граница</t>
  </si>
  <si>
    <t>Уровень</t>
  </si>
  <si>
    <t>Вывод</t>
  </si>
  <si>
    <t>интервал [168,628; 170,316] покрывает параметр a с вероятностью 0,95 при σ²=36</t>
  </si>
  <si>
    <t>интервал [168,620; 170,324] покрывает параметр a с вероятностью 0,95 при неизвестном σ²</t>
  </si>
  <si>
    <t>интервал [30,946; 45,888] покрывает параметр σ² с вероятностью 0,95 при неизвестном a</t>
  </si>
  <si>
    <t>интервал [31,037; 45,976] покрывает параметр σ² с вероятностью 0,95 при a=170</t>
  </si>
  <si>
    <t>значение σ²* при a=170:</t>
  </si>
  <si>
    <t>Проверим гипотезу о нормальном распределении роста при уровне значимости 0,05</t>
  </si>
  <si>
    <t>Интервальный ряд (Рост)</t>
  </si>
  <si>
    <t>Слитый интервальный ряд (Рост)</t>
  </si>
  <si>
    <t>F0</t>
  </si>
  <si>
    <t>F0=F0((a_i-&lt;X&gt;)/S)</t>
  </si>
  <si>
    <t>F0_(i+1)-F0_i</t>
  </si>
  <si>
    <t>теоретические частоты из нормального распределения</t>
  </si>
  <si>
    <t>n_i</t>
  </si>
  <si>
    <t>v_i-n_i</t>
  </si>
  <si>
    <t>(v_i-n_i)^2/v_i</t>
  </si>
  <si>
    <t>Σ</t>
  </si>
  <si>
    <r>
      <t>уровень значимости (</t>
    </r>
    <r>
      <rPr>
        <b/>
        <sz val="11"/>
        <color theme="1"/>
        <rFont val="Calibri"/>
        <family val="2"/>
        <charset val="204"/>
      </rPr>
      <t>α)</t>
    </r>
    <r>
      <rPr>
        <b/>
        <sz val="11"/>
        <color theme="1"/>
        <rFont val="Calibri"/>
        <family val="2"/>
        <charset val="204"/>
        <scheme val="minor"/>
      </rPr>
      <t>:</t>
    </r>
  </si>
  <si>
    <t>это и будет статистикой критерия</t>
  </si>
  <si>
    <t>критическая точка (tкр):</t>
  </si>
  <si>
    <t>степень свободы (s):</t>
  </si>
  <si>
    <t xml:space="preserve">Вывод: </t>
  </si>
  <si>
    <t>статистика (2,0366) меньше критической точки (7,8147), т.е. гипотеза о нормальном распределении принимается</t>
  </si>
  <si>
    <t>Построим корреляционное облако</t>
  </si>
  <si>
    <t>Предполагая, что распределение случайной величины роста нормально, найдем доверительные интервалы</t>
  </si>
  <si>
    <t>Построим корреляционную таблицу веса и роста с условными средними</t>
  </si>
  <si>
    <t>a_i/b_i</t>
  </si>
  <si>
    <t>b_(i-1)</t>
  </si>
  <si>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  <charset val="204"/>
        <scheme val="minor"/>
      </rPr>
      <t>v_i</t>
    </r>
  </si>
  <si>
    <t>Заменим интервалы в корреляционной таблице на значения середин</t>
  </si>
  <si>
    <t>основный частоты расположены вдоль главной диагонали, то есть можно сделать предположение, что корреляция прямая</t>
  </si>
  <si>
    <t>Y_x</t>
  </si>
  <si>
    <t>усл.сред.</t>
  </si>
  <si>
    <t xml:space="preserve">из роста условных средних сделаем предположение о прямой корреляции </t>
  </si>
  <si>
    <t>Найдем внутригрупповую и межгрупповую дисперсии</t>
  </si>
  <si>
    <t>(Y_x)^2</t>
  </si>
  <si>
    <t>это значение совпадает с найденным в 4 пунтке средним выборочным (Вес)</t>
  </si>
  <si>
    <t>v_i*(Y_x)^2</t>
  </si>
  <si>
    <t>Межгрупповая дисперсия:</t>
  </si>
  <si>
    <t>D_j</t>
  </si>
  <si>
    <t>Внутригрупповая дисперсия:</t>
  </si>
  <si>
    <t>Сумма дисперсий:</t>
  </si>
  <si>
    <t>сумма межгрупповой и внутригрупповой дисперсий совпала по значению с подсчитанной в пункте 4, таким образом теорема о разложении дисперсии подтвердилась для нашего случая</t>
  </si>
  <si>
    <t>Проверим гипотезу о независимости, считая распределение веса нормальным</t>
  </si>
  <si>
    <t>критерий статистики:</t>
  </si>
  <si>
    <t>квантиль F-распределения:</t>
  </si>
  <si>
    <t>критерий статистики (17,13) превосходит значение критической точки (1,93), поэтому гипотеза о независимости величин не принимается</t>
  </si>
  <si>
    <t>По интервальной корреляционной таблице найти выборочный коэффициент линейной корреляции, составить уравнение линейной регрессии веса от роста. Сделать вывод о силе линейной связи по шкале Чеддока</t>
  </si>
  <si>
    <t>E(X*Y)</t>
  </si>
  <si>
    <t>Среднее:</t>
  </si>
  <si>
    <t>Выборочный коэффициент корреляции (r*):</t>
  </si>
  <si>
    <t>можно сделать замечание о прямой заметной корреляции веса от роста</t>
  </si>
  <si>
    <t xml:space="preserve">уравнение линейной регрессии веса от роста можно записать в виде </t>
  </si>
  <si>
    <t>Пусть y=a+bx, тогда</t>
  </si>
  <si>
    <t>b</t>
  </si>
  <si>
    <t>Построить график линии регрессии. Нанести на этот же график точки условных средних</t>
  </si>
  <si>
    <t>X</t>
  </si>
  <si>
    <t>X (Рост)</t>
  </si>
  <si>
    <t>min</t>
  </si>
  <si>
    <t>mean</t>
  </si>
  <si>
    <t>mode</t>
  </si>
  <si>
    <t>max</t>
  </si>
  <si>
    <t>Y (регрессионный)</t>
  </si>
  <si>
    <t>y=a+bx</t>
  </si>
  <si>
    <t>условные средние (Y_x)</t>
  </si>
  <si>
    <t>Найти выборочное корреляционное соотношение и сравнить его с коэффициентом корреляции</t>
  </si>
  <si>
    <t>Из 10 пункта:</t>
  </si>
  <si>
    <t>Выборочное корреляционное соотношение:</t>
  </si>
  <si>
    <t>&gt;</t>
  </si>
  <si>
    <t>r*</t>
  </si>
  <si>
    <t>nu</t>
  </si>
  <si>
    <t>Выборочное корреляционное соотношение действительно больше значения выборочного коэффицента корреляции. Незначительная разность значений говорит об оправданном выборе вида регрессии (линейная).</t>
  </si>
  <si>
    <t>Используя встроенную функцию EXEL ЛИНЕЙН, по исходным данным найти:</t>
  </si>
  <si>
    <t>параметр b:</t>
  </si>
  <si>
    <t>параметр a:</t>
  </si>
  <si>
    <t>стандартная ошибка Sb:</t>
  </si>
  <si>
    <t>стандартная ошибка Sa:</t>
  </si>
  <si>
    <t>коэфф. детерминации R^2:</t>
  </si>
  <si>
    <t>стандартная ошибка S:</t>
  </si>
  <si>
    <t>F-статистика:</t>
  </si>
  <si>
    <t>степени свободы n-2:</t>
  </si>
  <si>
    <t>дисперсия расчет. значений:</t>
  </si>
  <si>
    <t>остаточная дисперсия:</t>
  </si>
  <si>
    <t>а)</t>
  </si>
  <si>
    <t>б)</t>
  </si>
  <si>
    <t>Сделать прогноз веса при росте 180 см. Найти стандартную ошибку прогноза и его доверительный интервал</t>
  </si>
  <si>
    <t>Проверить гипотезу о статистической значимости уравнения линейной регрессии при уровне 0.05</t>
  </si>
  <si>
    <t>X_p</t>
  </si>
  <si>
    <t>Y_p</t>
  </si>
  <si>
    <t>Y</t>
  </si>
  <si>
    <t>X*X</t>
  </si>
  <si>
    <t>Y*Y</t>
  </si>
  <si>
    <t>XY</t>
  </si>
  <si>
    <t>Y_hat</t>
  </si>
  <si>
    <t>регресс.</t>
  </si>
  <si>
    <t>Y_hat*Y_hat</t>
  </si>
  <si>
    <t>eps</t>
  </si>
  <si>
    <t>ошибка</t>
  </si>
  <si>
    <t>eps*eps</t>
  </si>
  <si>
    <t>СРЗНАЧ</t>
  </si>
  <si>
    <t>СКО X:</t>
  </si>
  <si>
    <t>СКО Y:</t>
  </si>
  <si>
    <t>Дисп X:</t>
  </si>
  <si>
    <t>Дисп Y:</t>
  </si>
  <si>
    <t>r*:</t>
  </si>
  <si>
    <r>
      <t>Стандартная ошибка прогноза (S</t>
    </r>
    <r>
      <rPr>
        <b/>
        <sz val="11"/>
        <color theme="1"/>
        <rFont val="Calibri"/>
        <family val="2"/>
        <charset val="204"/>
      </rPr>
      <t>Δp)</t>
    </r>
    <r>
      <rPr>
        <b/>
        <sz val="11"/>
        <color theme="1"/>
        <rFont val="Calibri"/>
        <family val="2"/>
        <charset val="204"/>
        <scheme val="minor"/>
      </rPr>
      <t>:</t>
    </r>
  </si>
  <si>
    <t>Стандартная ошибка регрессии (S):</t>
  </si>
  <si>
    <t>Стандартная ошибка регрессии (S^2):</t>
  </si>
  <si>
    <t>b:</t>
  </si>
  <si>
    <t>a:</t>
  </si>
  <si>
    <t>наклон регрессии</t>
  </si>
  <si>
    <t>свободн. член регрессии</t>
  </si>
  <si>
    <t>выборочн. коэфф. коррел.</t>
  </si>
  <si>
    <t>дисперсия (Рост)</t>
  </si>
  <si>
    <t>дисперсия (Вес)</t>
  </si>
  <si>
    <t>СКО (Рост)</t>
  </si>
  <si>
    <t>СКО (Вес)</t>
  </si>
  <si>
    <t>Dy_hat:</t>
  </si>
  <si>
    <t>Deps:</t>
  </si>
  <si>
    <t>дисперсия ошибок</t>
  </si>
  <si>
    <t>дисперсия расчет. значений</t>
  </si>
  <si>
    <t>проверка полным обсчетом выборки --&gt;</t>
  </si>
  <si>
    <t>Доверительный интервал прогноза:</t>
  </si>
  <si>
    <t>Квантиль Стьюдент-распределения:</t>
  </si>
  <si>
    <r>
      <t>Уровень точности (</t>
    </r>
    <r>
      <rPr>
        <b/>
        <sz val="11"/>
        <color theme="1"/>
        <rFont val="Calibri"/>
        <family val="2"/>
        <charset val="204"/>
      </rPr>
      <t>α):</t>
    </r>
  </si>
  <si>
    <t>то есть данный отрезок покрывает значение Y_p с вероятностью 0,95</t>
  </si>
  <si>
    <t>в)</t>
  </si>
  <si>
    <t>Найти доверительные интервалы коэффициентов линейной регрессии</t>
  </si>
  <si>
    <t>Доверительный интервал для коэффициента свободного члена регрессии (a):</t>
  </si>
  <si>
    <t>Доверительный интервал для коэффициента наклона уравнения регрессии (b):</t>
  </si>
  <si>
    <t>г)</t>
  </si>
  <si>
    <t>tкр:</t>
  </si>
  <si>
    <t>&lt;</t>
  </si>
  <si>
    <t>F-стат.</t>
  </si>
  <si>
    <t>значение F-статистики больше значения критической точки (квантиля F-распределения), следовательно принимается гипотеза о том, что уравнение регрессии статистически значимо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</si>
</sst>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color theme="4"/>
      <name val="Arial Cyr"/>
      <charset val="204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4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lightGray">
        <fgColor theme="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2">
    <xf numFmtId="0" fontId="0" fillId="0" borderId="0" xfId="0"/>
    <xf numFmtId="0" fontId="5" fillId="0" borderId="1" xfId="15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5" fillId="0" borderId="0" xfId="15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4" xfId="15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3" xfId="15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1" xfId="15" applyFont="1" applyBorder="1" applyAlignment="1">
      <alignment horizontal="center" vertical="center"/>
    </xf>
    <xf numFmtId="0" fontId="6" fillId="0" borderId="4" xfId="15" applyFont="1" applyBorder="1" applyAlignment="1">
      <alignment horizontal="center" vertical="center"/>
    </xf>
    <xf numFmtId="0" fontId="0" fillId="0" borderId="16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1" fillId="0" borderId="20" xfId="0" applyFont="1" applyBorder="1" applyAlignment="1">
      <alignment horizontal="center"/>
    </xf>
    <xf numFmtId="0" fontId="0" fillId="0" borderId="21" xfId="0" applyBorder="1"/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4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1" xfId="0" applyNumberFormat="1" applyBorder="1" applyAlignment="1">
      <alignment horizontal="center"/>
    </xf>
    <xf numFmtId="164" fontId="0" fillId="0" borderId="4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textRotation="90" wrapText="1"/>
    </xf>
    <xf numFmtId="0" fontId="0" fillId="0" borderId="2" xfId="0" applyBorder="1" applyAlignment="1">
      <alignment horizontal="center"/>
    </xf>
    <xf numFmtId="0" fontId="14" fillId="3" borderId="0" xfId="0" applyFont="1" applyFill="1" applyAlignment="1">
      <alignment horizontal="center" wrapText="1"/>
    </xf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" fillId="0" borderId="0" xfId="0" applyFont="1" applyAlignment="1"/>
    <xf numFmtId="0" fontId="0" fillId="3" borderId="0" xfId="0" applyFont="1" applyFill="1" applyAlignment="1">
      <alignment horizontal="center"/>
    </xf>
    <xf numFmtId="0" fontId="8" fillId="0" borderId="0" xfId="0" applyFont="1"/>
    <xf numFmtId="0" fontId="1" fillId="3" borderId="0" xfId="0" applyFont="1" applyFill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27">
    <cellStyle name="Обычный" xfId="0" builtinId="0"/>
    <cellStyle name="Обычный 10" xfId="10" xr:uid="{48E4F8E4-24E1-48C6-BDDC-9055AD553048}"/>
    <cellStyle name="Обычный 11" xfId="11" xr:uid="{5BE1E2C3-D41D-4844-9293-FB902670F50B}"/>
    <cellStyle name="Обычный 12" xfId="12" xr:uid="{35A1BA53-9E9D-4E5D-A7BC-CDE9D9906006}"/>
    <cellStyle name="Обычный 13" xfId="13" xr:uid="{E82D71DD-31FA-4BBC-BCF8-8321B22621CE}"/>
    <cellStyle name="Обычный 14" xfId="14" xr:uid="{CEB35970-1BA9-42EC-B128-6B4F0857E28F}"/>
    <cellStyle name="Обычный 15" xfId="15" xr:uid="{6D8F6722-9DD6-40F5-93F5-1A2C32DFD6AA}"/>
    <cellStyle name="Обычный 16" xfId="16" xr:uid="{9E87A39E-A853-4F60-A38D-8779FBDA7BD8}"/>
    <cellStyle name="Обычный 17" xfId="17" xr:uid="{2D9893C4-35D8-4A2C-809A-9FA4A081FD40}"/>
    <cellStyle name="Обычный 18" xfId="18" xr:uid="{53129919-B0AB-48EE-A269-BB9AE9D00EBF}"/>
    <cellStyle name="Обычный 19" xfId="19" xr:uid="{792B62CB-677C-4CC5-9391-C1C9B525F7A0}"/>
    <cellStyle name="Обычный 2" xfId="2" xr:uid="{7C6DC684-CA93-43D7-B6C2-105713760DB2}"/>
    <cellStyle name="Обычный 20" xfId="20" xr:uid="{8469E3DE-C913-418C-912E-B1A0881C9C9B}"/>
    <cellStyle name="Обычный 21" xfId="21" xr:uid="{BC86615F-2CEF-4060-887A-80AB06E3BD1B}"/>
    <cellStyle name="Обычный 22" xfId="22" xr:uid="{FD346797-8B0A-4156-9106-A25E4F1120CF}"/>
    <cellStyle name="Обычный 23" xfId="23" xr:uid="{260B3F19-E5B4-4AE5-B004-1898A19A5300}"/>
    <cellStyle name="Обычный 24" xfId="24" xr:uid="{808C32F3-FE0C-4BBE-8798-DA51ACDA7C91}"/>
    <cellStyle name="Обычный 25" xfId="25" xr:uid="{FD7925E8-ED6D-433F-B6EC-54EC145C328A}"/>
    <cellStyle name="Обычный 26" xfId="26" xr:uid="{3E5CC5D5-87B9-4B16-9AB4-3F271275F1C6}"/>
    <cellStyle name="Обычный 27" xfId="1" xr:uid="{74B38E7C-AE4F-47D3-88DF-4BB3F883852B}"/>
    <cellStyle name="Обычный 3" xfId="3" xr:uid="{FD7A3968-CE5C-417C-9C12-7FA990891FD0}"/>
    <cellStyle name="Обычный 4" xfId="4" xr:uid="{8518F96D-E591-4177-A81F-B464499AF8D4}"/>
    <cellStyle name="Обычный 5" xfId="5" xr:uid="{3BDDAFCA-8980-4233-B10E-F623CD0C53F7}"/>
    <cellStyle name="Обычный 6" xfId="6" xr:uid="{6D7B6C5D-4402-47C6-991F-1850149A6703}"/>
    <cellStyle name="Обычный 7" xfId="7" xr:uid="{9763E157-E138-4E4B-83BE-62038162D7BE}"/>
    <cellStyle name="Обычный 8" xfId="8" xr:uid="{CE136D24-A605-40D6-BD13-97CFBBC8052C}"/>
    <cellStyle name="Обычный 9" xfId="9" xr:uid="{E24447BE-02A4-43F4-83EC-74BAACED6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Относительные частоты (Рост)</a:t>
            </a:r>
          </a:p>
        </c:rich>
      </c:tx>
      <c:layout>
        <c:manualLayout>
          <c:xMode val="edge"/>
          <c:yMode val="edge"/>
          <c:x val="1.62489063867015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Относительные частоты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'2'!$E$12:$E$21</c:f>
              <c:numCache>
                <c:formatCode>General</c:formatCode>
                <c:ptCount val="10"/>
                <c:pt idx="0">
                  <c:v>0.03</c:v>
                </c:pt>
                <c:pt idx="1">
                  <c:v>0.1</c:v>
                </c:pt>
                <c:pt idx="2">
                  <c:v>0.16</c:v>
                </c:pt>
                <c:pt idx="3">
                  <c:v>0.16500000000000001</c:v>
                </c:pt>
                <c:pt idx="4">
                  <c:v>0.20499999999999999</c:v>
                </c:pt>
                <c:pt idx="5">
                  <c:v>0.18</c:v>
                </c:pt>
                <c:pt idx="6">
                  <c:v>9.5000000000000001E-2</c:v>
                </c:pt>
                <c:pt idx="7">
                  <c:v>0.03</c:v>
                </c:pt>
                <c:pt idx="8">
                  <c:v>0.02</c:v>
                </c:pt>
                <c:pt idx="9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C-4A31-9640-8BBCF11BB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60880559"/>
        <c:axId val="1360878063"/>
      </c:barChart>
      <c:catAx>
        <c:axId val="136088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0878063"/>
        <c:crosses val="autoZero"/>
        <c:auto val="1"/>
        <c:lblAlgn val="ctr"/>
        <c:lblOffset val="100"/>
        <c:noMultiLvlLbl val="0"/>
      </c:catAx>
      <c:valAx>
        <c:axId val="13608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088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Полигон</a:t>
            </a:r>
            <a:r>
              <a:rPr lang="ru-RU" baseline="0"/>
              <a:t> (Рост)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относительных частот от центральных значений интервалов</c:v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1.1600928074245922E-2"/>
                  <c:y val="0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A67-440C-9802-CCA575D6831E}"/>
                </c:ext>
              </c:extLst>
            </c:dLbl>
            <c:dLbl>
              <c:idx val="1"/>
              <c:layout>
                <c:manualLayout>
                  <c:x val="1.1600928074245939E-2"/>
                  <c:y val="1.215066828675577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67-440C-9802-CCA575D6831E}"/>
                </c:ext>
              </c:extLst>
            </c:dLbl>
            <c:dLbl>
              <c:idx val="2"/>
              <c:layout>
                <c:manualLayout>
                  <c:x val="-3.8669760247486466E-2"/>
                  <c:y val="-6.48035641960307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67-440C-9802-CCA575D6831E}"/>
                </c:ext>
              </c:extLst>
            </c:dLbl>
            <c:dLbl>
              <c:idx val="3"/>
              <c:layout>
                <c:manualLayout>
                  <c:x val="5.8004640371229696E-3"/>
                  <c:y val="3.240178209801539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67-440C-9802-CCA575D6831E}"/>
                </c:ext>
              </c:extLst>
            </c:dLbl>
            <c:dLbl>
              <c:idx val="4"/>
              <c:layout>
                <c:manualLayout>
                  <c:x val="-9.6674400618716877E-3"/>
                  <c:y val="-5.670311867152693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67-440C-9802-CCA575D6831E}"/>
                </c:ext>
              </c:extLst>
            </c:dLbl>
            <c:dLbl>
              <c:idx val="5"/>
              <c:layout>
                <c:manualLayout>
                  <c:x val="9.6674400618716166E-3"/>
                  <c:y val="-2.430133657351154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67-440C-9802-CCA575D6831E}"/>
                </c:ext>
              </c:extLst>
            </c:dLbl>
            <c:dLbl>
              <c:idx val="6"/>
              <c:layout>
                <c:manualLayout>
                  <c:x val="0"/>
                  <c:y val="-4.050222762251923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67-440C-9802-CCA575D6831E}"/>
                </c:ext>
              </c:extLst>
            </c:dLbl>
            <c:dLbl>
              <c:idx val="7"/>
              <c:layout>
                <c:manualLayout>
                  <c:x val="-2.4935737677285894E-2"/>
                  <c:y val="-6.480360475171831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A67-440C-9802-CCA575D6831E}"/>
                </c:ext>
              </c:extLst>
            </c:dLbl>
            <c:dLbl>
              <c:idx val="8"/>
              <c:layout>
                <c:manualLayout>
                  <c:x val="-2.1068861518456983E-2"/>
                  <c:y val="-6.88537921199157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67-440C-9802-CCA575D6831E}"/>
                </c:ext>
              </c:extLst>
            </c:dLbl>
            <c:dLbl>
              <c:idx val="9"/>
              <c:layout>
                <c:manualLayout>
                  <c:x val="6.6519781357605534E-5"/>
                  <c:y val="-4.474898730144281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A67-440C-9802-CCA575D683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'2'!$F$12:$F$21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186.39999999999986</c:v>
                </c:pt>
              </c:numCache>
            </c:numRef>
          </c:xVal>
          <c:yVal>
            <c:numRef>
              <c:f>'2'!$E$12:$E$21</c:f>
              <c:numCache>
                <c:formatCode>General</c:formatCode>
                <c:ptCount val="10"/>
                <c:pt idx="0">
                  <c:v>0.03</c:v>
                </c:pt>
                <c:pt idx="1">
                  <c:v>0.1</c:v>
                </c:pt>
                <c:pt idx="2">
                  <c:v>0.16</c:v>
                </c:pt>
                <c:pt idx="3">
                  <c:v>0.16500000000000001</c:v>
                </c:pt>
                <c:pt idx="4">
                  <c:v>0.20499999999999999</c:v>
                </c:pt>
                <c:pt idx="5">
                  <c:v>0.18</c:v>
                </c:pt>
                <c:pt idx="6">
                  <c:v>9.5000000000000001E-2</c:v>
                </c:pt>
                <c:pt idx="7">
                  <c:v>0.03</c:v>
                </c:pt>
                <c:pt idx="8">
                  <c:v>0.02</c:v>
                </c:pt>
                <c:pt idx="9">
                  <c:v>1.4999999999999999E-2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7-440C-9802-CCA575D68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207855"/>
        <c:axId val="1633208271"/>
      </c:scatterChart>
      <c:valAx>
        <c:axId val="163320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 интервалов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208271"/>
        <c:crosses val="autoZero"/>
        <c:crossBetween val="midCat"/>
      </c:valAx>
      <c:valAx>
        <c:axId val="163320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Относительные 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320785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Выборочная функция распределения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645579735603922E-2"/>
                  <c:y val="-7.297671958714797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8D-44C6-B227-82053692DBDB}"/>
                </c:ext>
              </c:extLst>
            </c:dLbl>
            <c:dLbl>
              <c:idx val="1"/>
              <c:layout>
                <c:manualLayout>
                  <c:x val="-8.0768939315656429E-2"/>
                  <c:y val="-7.714860110571285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8D-44C6-B227-82053692DBDB}"/>
                </c:ext>
              </c:extLst>
            </c:dLbl>
            <c:dLbl>
              <c:idx val="2"/>
              <c:layout>
                <c:manualLayout>
                  <c:x val="-7.7701310958177477E-2"/>
                  <c:y val="-6.463295655001823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8D-44C6-B227-82053692DBDB}"/>
                </c:ext>
              </c:extLst>
            </c:dLbl>
            <c:dLbl>
              <c:idx val="3"/>
              <c:layout>
                <c:manualLayout>
                  <c:x val="-0.10762808192283051"/>
                  <c:y val="-5.21173119943236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8D-44C6-B227-82053692DBDB}"/>
                </c:ext>
              </c:extLst>
            </c:dLbl>
            <c:dLbl>
              <c:idx val="4"/>
              <c:layout>
                <c:manualLayout>
                  <c:x val="-0.11139011166911222"/>
                  <c:y val="-5.211731199432361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8D-44C6-B227-82053692DBDB}"/>
                </c:ext>
              </c:extLst>
            </c:dLbl>
            <c:dLbl>
              <c:idx val="5"/>
              <c:layout>
                <c:manualLayout>
                  <c:x val="-0.11795179145913848"/>
                  <c:y val="-5.211731199432361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8D-44C6-B227-82053692DBDB}"/>
                </c:ext>
              </c:extLst>
            </c:dLbl>
            <c:dLbl>
              <c:idx val="6"/>
              <c:layout>
                <c:manualLayout>
                  <c:x val="-7.7006909569374768E-2"/>
                  <c:y val="8.972665963688206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8D-44C6-B227-82053692DBDB}"/>
                </c:ext>
              </c:extLst>
            </c:dLbl>
            <c:dLbl>
              <c:idx val="7"/>
              <c:layout>
                <c:manualLayout>
                  <c:x val="-4.5505335455115516E-2"/>
                  <c:y val="8.138289659975235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8D-44C6-B227-82053692DBDB}"/>
                </c:ext>
              </c:extLst>
            </c:dLbl>
            <c:dLbl>
              <c:idx val="8"/>
              <c:layout>
                <c:manualLayout>
                  <c:x val="-2.8887924442515551E-2"/>
                  <c:y val="6.052348900692795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8D-44C6-B227-82053692DBDB}"/>
                </c:ext>
              </c:extLst>
            </c:dLbl>
            <c:dLbl>
              <c:idx val="9"/>
              <c:layout>
                <c:manualLayout>
                  <c:x val="-7.0976364174950568E-3"/>
                  <c:y val="-5.211731199432361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8D-44C6-B227-82053692DB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'2'!$F$12:$F$21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186.39999999999986</c:v>
                </c:pt>
              </c:numCache>
            </c:numRef>
          </c:xVal>
          <c:yVal>
            <c:numRef>
              <c:f>'2'!$G$12:$G$21</c:f>
              <c:numCache>
                <c:formatCode>General</c:formatCode>
                <c:ptCount val="10"/>
                <c:pt idx="0">
                  <c:v>0.03</c:v>
                </c:pt>
                <c:pt idx="1">
                  <c:v>0.13</c:v>
                </c:pt>
                <c:pt idx="2">
                  <c:v>0.29000000000000004</c:v>
                </c:pt>
                <c:pt idx="3">
                  <c:v>0.45500000000000007</c:v>
                </c:pt>
                <c:pt idx="4">
                  <c:v>0.66</c:v>
                </c:pt>
                <c:pt idx="5">
                  <c:v>0.84000000000000008</c:v>
                </c:pt>
                <c:pt idx="6">
                  <c:v>0.93500000000000005</c:v>
                </c:pt>
                <c:pt idx="7">
                  <c:v>0.96500000000000008</c:v>
                </c:pt>
                <c:pt idx="8">
                  <c:v>0.9850000000000001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D-44C6-B227-82053692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10783"/>
        <c:axId val="95709951"/>
      </c:scatterChart>
      <c:valAx>
        <c:axId val="9571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 интервалов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09951"/>
        <c:crosses val="autoZero"/>
        <c:crossBetween val="midCat"/>
      </c:valAx>
      <c:valAx>
        <c:axId val="957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Выборочная</a:t>
                </a:r>
                <a:r>
                  <a:rPr lang="ru-RU" baseline="0"/>
                  <a:t> функция распределения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1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облако веса от роста</a:t>
            </a:r>
          </a:p>
        </c:rich>
      </c:tx>
      <c:layout>
        <c:manualLayout>
          <c:xMode val="edge"/>
          <c:yMode val="edge"/>
          <c:x val="0.32741707998243991"/>
          <c:y val="2.63059000375798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веса от роста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'1'!$B$2:$B$201</c:f>
              <c:numCache>
                <c:formatCode>General</c:formatCode>
                <c:ptCount val="200"/>
                <c:pt idx="0">
                  <c:v>176</c:v>
                </c:pt>
                <c:pt idx="1">
                  <c:v>171</c:v>
                </c:pt>
                <c:pt idx="2">
                  <c:v>166</c:v>
                </c:pt>
                <c:pt idx="3">
                  <c:v>182</c:v>
                </c:pt>
                <c:pt idx="4">
                  <c:v>165</c:v>
                </c:pt>
                <c:pt idx="5">
                  <c:v>168</c:v>
                </c:pt>
                <c:pt idx="6">
                  <c:v>170</c:v>
                </c:pt>
                <c:pt idx="7">
                  <c:v>181</c:v>
                </c:pt>
                <c:pt idx="8">
                  <c:v>161</c:v>
                </c:pt>
                <c:pt idx="9">
                  <c:v>168</c:v>
                </c:pt>
                <c:pt idx="10">
                  <c:v>161</c:v>
                </c:pt>
                <c:pt idx="11">
                  <c:v>161</c:v>
                </c:pt>
                <c:pt idx="12">
                  <c:v>165</c:v>
                </c:pt>
                <c:pt idx="13">
                  <c:v>176</c:v>
                </c:pt>
                <c:pt idx="14">
                  <c:v>165</c:v>
                </c:pt>
                <c:pt idx="15">
                  <c:v>161</c:v>
                </c:pt>
                <c:pt idx="16">
                  <c:v>166</c:v>
                </c:pt>
                <c:pt idx="17">
                  <c:v>167</c:v>
                </c:pt>
                <c:pt idx="18">
                  <c:v>167</c:v>
                </c:pt>
                <c:pt idx="19">
                  <c:v>165</c:v>
                </c:pt>
                <c:pt idx="20">
                  <c:v>168</c:v>
                </c:pt>
                <c:pt idx="21">
                  <c:v>161</c:v>
                </c:pt>
                <c:pt idx="22">
                  <c:v>163</c:v>
                </c:pt>
                <c:pt idx="23">
                  <c:v>168</c:v>
                </c:pt>
                <c:pt idx="24">
                  <c:v>175</c:v>
                </c:pt>
                <c:pt idx="25">
                  <c:v>161</c:v>
                </c:pt>
                <c:pt idx="26">
                  <c:v>171</c:v>
                </c:pt>
                <c:pt idx="27">
                  <c:v>184</c:v>
                </c:pt>
                <c:pt idx="28">
                  <c:v>173</c:v>
                </c:pt>
                <c:pt idx="29">
                  <c:v>166</c:v>
                </c:pt>
                <c:pt idx="30">
                  <c:v>170</c:v>
                </c:pt>
                <c:pt idx="31">
                  <c:v>172</c:v>
                </c:pt>
                <c:pt idx="32">
                  <c:v>176</c:v>
                </c:pt>
                <c:pt idx="33">
                  <c:v>162</c:v>
                </c:pt>
                <c:pt idx="34">
                  <c:v>157</c:v>
                </c:pt>
                <c:pt idx="35">
                  <c:v>188</c:v>
                </c:pt>
                <c:pt idx="36">
                  <c:v>164</c:v>
                </c:pt>
                <c:pt idx="37">
                  <c:v>167</c:v>
                </c:pt>
                <c:pt idx="38">
                  <c:v>174</c:v>
                </c:pt>
                <c:pt idx="39">
                  <c:v>161</c:v>
                </c:pt>
                <c:pt idx="40">
                  <c:v>172</c:v>
                </c:pt>
                <c:pt idx="41">
                  <c:v>171</c:v>
                </c:pt>
                <c:pt idx="42">
                  <c:v>173</c:v>
                </c:pt>
                <c:pt idx="43">
                  <c:v>176</c:v>
                </c:pt>
                <c:pt idx="44">
                  <c:v>156</c:v>
                </c:pt>
                <c:pt idx="45">
                  <c:v>161</c:v>
                </c:pt>
                <c:pt idx="46">
                  <c:v>165</c:v>
                </c:pt>
                <c:pt idx="47">
                  <c:v>174</c:v>
                </c:pt>
                <c:pt idx="48">
                  <c:v>183</c:v>
                </c:pt>
                <c:pt idx="49">
                  <c:v>173</c:v>
                </c:pt>
                <c:pt idx="50">
                  <c:v>160</c:v>
                </c:pt>
                <c:pt idx="51">
                  <c:v>178</c:v>
                </c:pt>
                <c:pt idx="52">
                  <c:v>170</c:v>
                </c:pt>
                <c:pt idx="53">
                  <c:v>168</c:v>
                </c:pt>
                <c:pt idx="54">
                  <c:v>173</c:v>
                </c:pt>
                <c:pt idx="55">
                  <c:v>176</c:v>
                </c:pt>
                <c:pt idx="56">
                  <c:v>170</c:v>
                </c:pt>
                <c:pt idx="57">
                  <c:v>163</c:v>
                </c:pt>
                <c:pt idx="58">
                  <c:v>165</c:v>
                </c:pt>
                <c:pt idx="59">
                  <c:v>165</c:v>
                </c:pt>
                <c:pt idx="60">
                  <c:v>170</c:v>
                </c:pt>
                <c:pt idx="61">
                  <c:v>166</c:v>
                </c:pt>
                <c:pt idx="62">
                  <c:v>165</c:v>
                </c:pt>
                <c:pt idx="63">
                  <c:v>181</c:v>
                </c:pt>
                <c:pt idx="64">
                  <c:v>172</c:v>
                </c:pt>
                <c:pt idx="65">
                  <c:v>165</c:v>
                </c:pt>
                <c:pt idx="66">
                  <c:v>172</c:v>
                </c:pt>
                <c:pt idx="67">
                  <c:v>178</c:v>
                </c:pt>
                <c:pt idx="68">
                  <c:v>169</c:v>
                </c:pt>
                <c:pt idx="69">
                  <c:v>165</c:v>
                </c:pt>
                <c:pt idx="70">
                  <c:v>174</c:v>
                </c:pt>
                <c:pt idx="71">
                  <c:v>159</c:v>
                </c:pt>
                <c:pt idx="72">
                  <c:v>171</c:v>
                </c:pt>
                <c:pt idx="73">
                  <c:v>169</c:v>
                </c:pt>
                <c:pt idx="74">
                  <c:v>176</c:v>
                </c:pt>
                <c:pt idx="75">
                  <c:v>170</c:v>
                </c:pt>
                <c:pt idx="76">
                  <c:v>170</c:v>
                </c:pt>
                <c:pt idx="77">
                  <c:v>165</c:v>
                </c:pt>
                <c:pt idx="78">
                  <c:v>162</c:v>
                </c:pt>
                <c:pt idx="79">
                  <c:v>175</c:v>
                </c:pt>
                <c:pt idx="80">
                  <c:v>157</c:v>
                </c:pt>
                <c:pt idx="81">
                  <c:v>161</c:v>
                </c:pt>
                <c:pt idx="82">
                  <c:v>172</c:v>
                </c:pt>
                <c:pt idx="83">
                  <c:v>159</c:v>
                </c:pt>
                <c:pt idx="84">
                  <c:v>162</c:v>
                </c:pt>
                <c:pt idx="85">
                  <c:v>167</c:v>
                </c:pt>
                <c:pt idx="86">
                  <c:v>159</c:v>
                </c:pt>
                <c:pt idx="87">
                  <c:v>160</c:v>
                </c:pt>
                <c:pt idx="88">
                  <c:v>175</c:v>
                </c:pt>
                <c:pt idx="89">
                  <c:v>163</c:v>
                </c:pt>
                <c:pt idx="90">
                  <c:v>169</c:v>
                </c:pt>
                <c:pt idx="91">
                  <c:v>180</c:v>
                </c:pt>
                <c:pt idx="92">
                  <c:v>165</c:v>
                </c:pt>
                <c:pt idx="93">
                  <c:v>168</c:v>
                </c:pt>
                <c:pt idx="94">
                  <c:v>169</c:v>
                </c:pt>
                <c:pt idx="95">
                  <c:v>170</c:v>
                </c:pt>
                <c:pt idx="96">
                  <c:v>163</c:v>
                </c:pt>
                <c:pt idx="97">
                  <c:v>178</c:v>
                </c:pt>
                <c:pt idx="98">
                  <c:v>162</c:v>
                </c:pt>
                <c:pt idx="99">
                  <c:v>178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'1'!$C$2:$C$201</c:f>
              <c:numCache>
                <c:formatCode>General</c:formatCode>
                <c:ptCount val="200"/>
                <c:pt idx="0">
                  <c:v>65</c:v>
                </c:pt>
                <c:pt idx="1">
                  <c:v>70</c:v>
                </c:pt>
                <c:pt idx="2">
                  <c:v>57</c:v>
                </c:pt>
                <c:pt idx="3">
                  <c:v>76</c:v>
                </c:pt>
                <c:pt idx="4">
                  <c:v>59</c:v>
                </c:pt>
                <c:pt idx="5">
                  <c:v>62</c:v>
                </c:pt>
                <c:pt idx="6">
                  <c:v>76</c:v>
                </c:pt>
                <c:pt idx="7">
                  <c:v>68</c:v>
                </c:pt>
                <c:pt idx="8">
                  <c:v>66</c:v>
                </c:pt>
                <c:pt idx="9">
                  <c:v>67</c:v>
                </c:pt>
                <c:pt idx="10">
                  <c:v>55</c:v>
                </c:pt>
                <c:pt idx="11">
                  <c:v>66</c:v>
                </c:pt>
                <c:pt idx="12">
                  <c:v>63</c:v>
                </c:pt>
                <c:pt idx="13">
                  <c:v>78</c:v>
                </c:pt>
                <c:pt idx="14">
                  <c:v>56</c:v>
                </c:pt>
                <c:pt idx="15">
                  <c:v>51</c:v>
                </c:pt>
                <c:pt idx="16">
                  <c:v>62</c:v>
                </c:pt>
                <c:pt idx="17">
                  <c:v>65</c:v>
                </c:pt>
                <c:pt idx="18">
                  <c:v>63</c:v>
                </c:pt>
                <c:pt idx="19">
                  <c:v>63</c:v>
                </c:pt>
                <c:pt idx="20">
                  <c:v>73</c:v>
                </c:pt>
                <c:pt idx="21">
                  <c:v>59</c:v>
                </c:pt>
                <c:pt idx="22">
                  <c:v>65</c:v>
                </c:pt>
                <c:pt idx="23">
                  <c:v>66</c:v>
                </c:pt>
                <c:pt idx="24">
                  <c:v>66</c:v>
                </c:pt>
                <c:pt idx="25">
                  <c:v>52</c:v>
                </c:pt>
                <c:pt idx="26">
                  <c:v>63</c:v>
                </c:pt>
                <c:pt idx="27">
                  <c:v>72</c:v>
                </c:pt>
                <c:pt idx="28">
                  <c:v>63</c:v>
                </c:pt>
                <c:pt idx="29">
                  <c:v>67</c:v>
                </c:pt>
                <c:pt idx="30">
                  <c:v>61</c:v>
                </c:pt>
                <c:pt idx="31">
                  <c:v>74</c:v>
                </c:pt>
                <c:pt idx="32">
                  <c:v>81</c:v>
                </c:pt>
                <c:pt idx="33">
                  <c:v>60</c:v>
                </c:pt>
                <c:pt idx="34">
                  <c:v>60</c:v>
                </c:pt>
                <c:pt idx="35">
                  <c:v>75</c:v>
                </c:pt>
                <c:pt idx="36">
                  <c:v>53</c:v>
                </c:pt>
                <c:pt idx="37">
                  <c:v>64</c:v>
                </c:pt>
                <c:pt idx="38">
                  <c:v>69</c:v>
                </c:pt>
                <c:pt idx="39">
                  <c:v>62</c:v>
                </c:pt>
                <c:pt idx="40">
                  <c:v>63</c:v>
                </c:pt>
                <c:pt idx="41">
                  <c:v>69</c:v>
                </c:pt>
                <c:pt idx="42">
                  <c:v>68</c:v>
                </c:pt>
                <c:pt idx="43">
                  <c:v>70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73</c:v>
                </c:pt>
                <c:pt idx="49">
                  <c:v>71</c:v>
                </c:pt>
                <c:pt idx="50">
                  <c:v>61</c:v>
                </c:pt>
                <c:pt idx="51">
                  <c:v>69</c:v>
                </c:pt>
                <c:pt idx="52">
                  <c:v>70</c:v>
                </c:pt>
                <c:pt idx="53">
                  <c:v>60</c:v>
                </c:pt>
                <c:pt idx="54">
                  <c:v>69</c:v>
                </c:pt>
                <c:pt idx="55">
                  <c:v>70</c:v>
                </c:pt>
                <c:pt idx="56">
                  <c:v>58</c:v>
                </c:pt>
                <c:pt idx="57">
                  <c:v>64</c:v>
                </c:pt>
                <c:pt idx="58">
                  <c:v>57</c:v>
                </c:pt>
                <c:pt idx="59">
                  <c:v>60</c:v>
                </c:pt>
                <c:pt idx="60">
                  <c:v>61</c:v>
                </c:pt>
                <c:pt idx="61">
                  <c:v>55</c:v>
                </c:pt>
                <c:pt idx="62">
                  <c:v>63</c:v>
                </c:pt>
                <c:pt idx="63">
                  <c:v>77</c:v>
                </c:pt>
                <c:pt idx="64">
                  <c:v>64</c:v>
                </c:pt>
                <c:pt idx="65">
                  <c:v>63</c:v>
                </c:pt>
                <c:pt idx="66">
                  <c:v>78</c:v>
                </c:pt>
                <c:pt idx="67">
                  <c:v>75</c:v>
                </c:pt>
                <c:pt idx="68">
                  <c:v>74</c:v>
                </c:pt>
                <c:pt idx="69">
                  <c:v>63</c:v>
                </c:pt>
                <c:pt idx="70">
                  <c:v>75</c:v>
                </c:pt>
                <c:pt idx="71">
                  <c:v>54</c:v>
                </c:pt>
                <c:pt idx="72">
                  <c:v>66</c:v>
                </c:pt>
                <c:pt idx="73">
                  <c:v>67</c:v>
                </c:pt>
                <c:pt idx="74">
                  <c:v>62</c:v>
                </c:pt>
                <c:pt idx="75">
                  <c:v>65</c:v>
                </c:pt>
                <c:pt idx="76">
                  <c:v>66</c:v>
                </c:pt>
                <c:pt idx="77">
                  <c:v>61</c:v>
                </c:pt>
                <c:pt idx="78">
                  <c:v>66</c:v>
                </c:pt>
                <c:pt idx="79">
                  <c:v>75</c:v>
                </c:pt>
                <c:pt idx="80">
                  <c:v>53</c:v>
                </c:pt>
                <c:pt idx="81">
                  <c:v>55</c:v>
                </c:pt>
                <c:pt idx="82">
                  <c:v>66</c:v>
                </c:pt>
                <c:pt idx="83">
                  <c:v>55</c:v>
                </c:pt>
                <c:pt idx="84">
                  <c:v>65</c:v>
                </c:pt>
                <c:pt idx="85">
                  <c:v>63</c:v>
                </c:pt>
                <c:pt idx="86">
                  <c:v>68</c:v>
                </c:pt>
                <c:pt idx="87">
                  <c:v>62</c:v>
                </c:pt>
                <c:pt idx="88">
                  <c:v>75</c:v>
                </c:pt>
                <c:pt idx="89">
                  <c:v>67</c:v>
                </c:pt>
                <c:pt idx="90">
                  <c:v>56</c:v>
                </c:pt>
                <c:pt idx="91">
                  <c:v>65</c:v>
                </c:pt>
                <c:pt idx="92">
                  <c:v>63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57</c:v>
                </c:pt>
                <c:pt idx="97">
                  <c:v>75</c:v>
                </c:pt>
                <c:pt idx="98">
                  <c:v>53</c:v>
                </c:pt>
                <c:pt idx="99">
                  <c:v>69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E2-4B4C-9D44-70EAAAF7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51984"/>
        <c:axId val="41979936"/>
      </c:scatterChart>
      <c:valAx>
        <c:axId val="284651984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79936"/>
        <c:crosses val="autoZero"/>
        <c:crossBetween val="midCat"/>
      </c:valAx>
      <c:valAx>
        <c:axId val="4197993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условные средние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'13'!$H$5:$H$14</c:f>
              <c:numCache>
                <c:formatCode>General</c:formatCode>
                <c:ptCount val="10"/>
                <c:pt idx="0">
                  <c:v>157.6</c:v>
                </c:pt>
                <c:pt idx="1">
                  <c:v>160.79999999999998</c:v>
                </c:pt>
                <c:pt idx="2">
                  <c:v>163.99999999999997</c:v>
                </c:pt>
                <c:pt idx="3">
                  <c:v>167.19999999999996</c:v>
                </c:pt>
                <c:pt idx="4">
                  <c:v>170.39999999999995</c:v>
                </c:pt>
                <c:pt idx="5">
                  <c:v>173.59999999999994</c:v>
                </c:pt>
                <c:pt idx="6">
                  <c:v>176.79999999999993</c:v>
                </c:pt>
                <c:pt idx="7">
                  <c:v>179.99999999999991</c:v>
                </c:pt>
                <c:pt idx="8">
                  <c:v>183.1999999999999</c:v>
                </c:pt>
                <c:pt idx="9">
                  <c:v>186.39999999999986</c:v>
                </c:pt>
              </c:numCache>
            </c:numRef>
          </c:xVal>
          <c:yVal>
            <c:numRef>
              <c:f>'13'!$I$5:$I$14</c:f>
              <c:numCache>
                <c:formatCode>General</c:formatCode>
                <c:ptCount val="10"/>
                <c:pt idx="0">
                  <c:v>56.68333333333333</c:v>
                </c:pt>
                <c:pt idx="1">
                  <c:v>58.75</c:v>
                </c:pt>
                <c:pt idx="2">
                  <c:v>60.881250000000001</c:v>
                </c:pt>
                <c:pt idx="3">
                  <c:v>64.104545454545459</c:v>
                </c:pt>
                <c:pt idx="4">
                  <c:v>65.479268292682917</c:v>
                </c:pt>
                <c:pt idx="5">
                  <c:v>69.169444444444437</c:v>
                </c:pt>
                <c:pt idx="6">
                  <c:v>70.171052631578959</c:v>
                </c:pt>
                <c:pt idx="7">
                  <c:v>70.116666666666674</c:v>
                </c:pt>
                <c:pt idx="8">
                  <c:v>72.699999999999989</c:v>
                </c:pt>
                <c:pt idx="9">
                  <c:v>75.283333333333346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5-40F3-9557-8B1ED7776220}"/>
            </c:ext>
          </c:extLst>
        </c:ser>
        <c:ser>
          <c:idx val="1"/>
          <c:order val="1"/>
          <c:tx>
            <c:v>линия регрессии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'13'!$B$5:$B$8</c:f>
              <c:numCache>
                <c:formatCode>General</c:formatCode>
                <c:ptCount val="4"/>
                <c:pt idx="0">
                  <c:v>156</c:v>
                </c:pt>
                <c:pt idx="1">
                  <c:v>169.47200000000001</c:v>
                </c:pt>
                <c:pt idx="2">
                  <c:v>170.4</c:v>
                </c:pt>
                <c:pt idx="3">
                  <c:v>188</c:v>
                </c:pt>
              </c:numCache>
            </c:numRef>
          </c:xVal>
          <c:yVal>
            <c:numRef>
              <c:f>'13'!$C$5:$C$8</c:f>
              <c:numCache>
                <c:formatCode>General</c:formatCode>
                <c:ptCount val="4"/>
                <c:pt idx="0">
                  <c:v>55.884665186577749</c:v>
                </c:pt>
                <c:pt idx="1">
                  <c:v>65.120500000000078</c:v>
                </c:pt>
                <c:pt idx="2">
                  <c:v>65.756697647480465</c:v>
                </c:pt>
                <c:pt idx="3">
                  <c:v>77.822515099694897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5-40F3-9557-8B1ED7776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90351"/>
        <c:axId val="2107587951"/>
      </c:scatterChart>
      <c:valAx>
        <c:axId val="2107590351"/>
        <c:scaling>
          <c:orientation val="minMax"/>
          <c:min val="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7587951"/>
        <c:crosses val="autoZero"/>
        <c:crossBetween val="midCat"/>
      </c:valAx>
      <c:valAx>
        <c:axId val="2107587951"/>
        <c:scaling>
          <c:orientation val="minMax"/>
          <c:max val="8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7590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Линия</a:t>
            </a:r>
            <a:r>
              <a:rPr lang="ru-RU" baseline="0"/>
              <a:t> регрессии на корреляционном облаке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'1'!$B$2:$B$201</c:f>
              <c:numCache>
                <c:formatCode>General</c:formatCode>
                <c:ptCount val="200"/>
                <c:pt idx="0">
                  <c:v>176</c:v>
                </c:pt>
                <c:pt idx="1">
                  <c:v>171</c:v>
                </c:pt>
                <c:pt idx="2">
                  <c:v>166</c:v>
                </c:pt>
                <c:pt idx="3">
                  <c:v>182</c:v>
                </c:pt>
                <c:pt idx="4">
                  <c:v>165</c:v>
                </c:pt>
                <c:pt idx="5">
                  <c:v>168</c:v>
                </c:pt>
                <c:pt idx="6">
                  <c:v>170</c:v>
                </c:pt>
                <c:pt idx="7">
                  <c:v>181</c:v>
                </c:pt>
                <c:pt idx="8">
                  <c:v>161</c:v>
                </c:pt>
                <c:pt idx="9">
                  <c:v>168</c:v>
                </c:pt>
                <c:pt idx="10">
                  <c:v>161</c:v>
                </c:pt>
                <c:pt idx="11">
                  <c:v>161</c:v>
                </c:pt>
                <c:pt idx="12">
                  <c:v>165</c:v>
                </c:pt>
                <c:pt idx="13">
                  <c:v>176</c:v>
                </c:pt>
                <c:pt idx="14">
                  <c:v>165</c:v>
                </c:pt>
                <c:pt idx="15">
                  <c:v>161</c:v>
                </c:pt>
                <c:pt idx="16">
                  <c:v>166</c:v>
                </c:pt>
                <c:pt idx="17">
                  <c:v>167</c:v>
                </c:pt>
                <c:pt idx="18">
                  <c:v>167</c:v>
                </c:pt>
                <c:pt idx="19">
                  <c:v>165</c:v>
                </c:pt>
                <c:pt idx="20">
                  <c:v>168</c:v>
                </c:pt>
                <c:pt idx="21">
                  <c:v>161</c:v>
                </c:pt>
                <c:pt idx="22">
                  <c:v>163</c:v>
                </c:pt>
                <c:pt idx="23">
                  <c:v>168</c:v>
                </c:pt>
                <c:pt idx="24">
                  <c:v>175</c:v>
                </c:pt>
                <c:pt idx="25">
                  <c:v>161</c:v>
                </c:pt>
                <c:pt idx="26">
                  <c:v>171</c:v>
                </c:pt>
                <c:pt idx="27">
                  <c:v>184</c:v>
                </c:pt>
                <c:pt idx="28">
                  <c:v>173</c:v>
                </c:pt>
                <c:pt idx="29">
                  <c:v>166</c:v>
                </c:pt>
                <c:pt idx="30">
                  <c:v>170</c:v>
                </c:pt>
                <c:pt idx="31">
                  <c:v>172</c:v>
                </c:pt>
                <c:pt idx="32">
                  <c:v>176</c:v>
                </c:pt>
                <c:pt idx="33">
                  <c:v>162</c:v>
                </c:pt>
                <c:pt idx="34">
                  <c:v>157</c:v>
                </c:pt>
                <c:pt idx="35">
                  <c:v>188</c:v>
                </c:pt>
                <c:pt idx="36">
                  <c:v>164</c:v>
                </c:pt>
                <c:pt idx="37">
                  <c:v>167</c:v>
                </c:pt>
                <c:pt idx="38">
                  <c:v>174</c:v>
                </c:pt>
                <c:pt idx="39">
                  <c:v>161</c:v>
                </c:pt>
                <c:pt idx="40">
                  <c:v>172</c:v>
                </c:pt>
                <c:pt idx="41">
                  <c:v>171</c:v>
                </c:pt>
                <c:pt idx="42">
                  <c:v>173</c:v>
                </c:pt>
                <c:pt idx="43">
                  <c:v>176</c:v>
                </c:pt>
                <c:pt idx="44">
                  <c:v>156</c:v>
                </c:pt>
                <c:pt idx="45">
                  <c:v>161</c:v>
                </c:pt>
                <c:pt idx="46">
                  <c:v>165</c:v>
                </c:pt>
                <c:pt idx="47">
                  <c:v>174</c:v>
                </c:pt>
                <c:pt idx="48">
                  <c:v>183</c:v>
                </c:pt>
                <c:pt idx="49">
                  <c:v>173</c:v>
                </c:pt>
                <c:pt idx="50">
                  <c:v>160</c:v>
                </c:pt>
                <c:pt idx="51">
                  <c:v>178</c:v>
                </c:pt>
                <c:pt idx="52">
                  <c:v>170</c:v>
                </c:pt>
                <c:pt idx="53">
                  <c:v>168</c:v>
                </c:pt>
                <c:pt idx="54">
                  <c:v>173</c:v>
                </c:pt>
                <c:pt idx="55">
                  <c:v>176</c:v>
                </c:pt>
                <c:pt idx="56">
                  <c:v>170</c:v>
                </c:pt>
                <c:pt idx="57">
                  <c:v>163</c:v>
                </c:pt>
                <c:pt idx="58">
                  <c:v>165</c:v>
                </c:pt>
                <c:pt idx="59">
                  <c:v>165</c:v>
                </c:pt>
                <c:pt idx="60">
                  <c:v>170</c:v>
                </c:pt>
                <c:pt idx="61">
                  <c:v>166</c:v>
                </c:pt>
                <c:pt idx="62">
                  <c:v>165</c:v>
                </c:pt>
                <c:pt idx="63">
                  <c:v>181</c:v>
                </c:pt>
                <c:pt idx="64">
                  <c:v>172</c:v>
                </c:pt>
                <c:pt idx="65">
                  <c:v>165</c:v>
                </c:pt>
                <c:pt idx="66">
                  <c:v>172</c:v>
                </c:pt>
                <c:pt idx="67">
                  <c:v>178</c:v>
                </c:pt>
                <c:pt idx="68">
                  <c:v>169</c:v>
                </c:pt>
                <c:pt idx="69">
                  <c:v>165</c:v>
                </c:pt>
                <c:pt idx="70">
                  <c:v>174</c:v>
                </c:pt>
                <c:pt idx="71">
                  <c:v>159</c:v>
                </c:pt>
                <c:pt idx="72">
                  <c:v>171</c:v>
                </c:pt>
                <c:pt idx="73">
                  <c:v>169</c:v>
                </c:pt>
                <c:pt idx="74">
                  <c:v>176</c:v>
                </c:pt>
                <c:pt idx="75">
                  <c:v>170</c:v>
                </c:pt>
                <c:pt idx="76">
                  <c:v>170</c:v>
                </c:pt>
                <c:pt idx="77">
                  <c:v>165</c:v>
                </c:pt>
                <c:pt idx="78">
                  <c:v>162</c:v>
                </c:pt>
                <c:pt idx="79">
                  <c:v>175</c:v>
                </c:pt>
                <c:pt idx="80">
                  <c:v>157</c:v>
                </c:pt>
                <c:pt idx="81">
                  <c:v>161</c:v>
                </c:pt>
                <c:pt idx="82">
                  <c:v>172</c:v>
                </c:pt>
                <c:pt idx="83">
                  <c:v>159</c:v>
                </c:pt>
                <c:pt idx="84">
                  <c:v>162</c:v>
                </c:pt>
                <c:pt idx="85">
                  <c:v>167</c:v>
                </c:pt>
                <c:pt idx="86">
                  <c:v>159</c:v>
                </c:pt>
                <c:pt idx="87">
                  <c:v>160</c:v>
                </c:pt>
                <c:pt idx="88">
                  <c:v>175</c:v>
                </c:pt>
                <c:pt idx="89">
                  <c:v>163</c:v>
                </c:pt>
                <c:pt idx="90">
                  <c:v>169</c:v>
                </c:pt>
                <c:pt idx="91">
                  <c:v>180</c:v>
                </c:pt>
                <c:pt idx="92">
                  <c:v>165</c:v>
                </c:pt>
                <c:pt idx="93">
                  <c:v>168</c:v>
                </c:pt>
                <c:pt idx="94">
                  <c:v>169</c:v>
                </c:pt>
                <c:pt idx="95">
                  <c:v>170</c:v>
                </c:pt>
                <c:pt idx="96">
                  <c:v>163</c:v>
                </c:pt>
                <c:pt idx="97">
                  <c:v>178</c:v>
                </c:pt>
                <c:pt idx="98">
                  <c:v>162</c:v>
                </c:pt>
                <c:pt idx="99">
                  <c:v>178</c:v>
                </c:pt>
                <c:pt idx="100">
                  <c:v>164</c:v>
                </c:pt>
                <c:pt idx="101">
                  <c:v>176</c:v>
                </c:pt>
                <c:pt idx="102">
                  <c:v>163</c:v>
                </c:pt>
                <c:pt idx="103">
                  <c:v>164</c:v>
                </c:pt>
                <c:pt idx="104">
                  <c:v>170</c:v>
                </c:pt>
                <c:pt idx="105">
                  <c:v>177</c:v>
                </c:pt>
                <c:pt idx="106">
                  <c:v>180</c:v>
                </c:pt>
                <c:pt idx="107">
                  <c:v>175</c:v>
                </c:pt>
                <c:pt idx="108">
                  <c:v>168</c:v>
                </c:pt>
                <c:pt idx="109">
                  <c:v>175</c:v>
                </c:pt>
                <c:pt idx="110">
                  <c:v>171</c:v>
                </c:pt>
                <c:pt idx="111">
                  <c:v>170</c:v>
                </c:pt>
                <c:pt idx="112">
                  <c:v>168</c:v>
                </c:pt>
                <c:pt idx="113">
                  <c:v>160</c:v>
                </c:pt>
                <c:pt idx="114">
                  <c:v>171</c:v>
                </c:pt>
                <c:pt idx="115">
                  <c:v>180</c:v>
                </c:pt>
                <c:pt idx="116">
                  <c:v>165</c:v>
                </c:pt>
                <c:pt idx="117">
                  <c:v>176</c:v>
                </c:pt>
                <c:pt idx="118">
                  <c:v>167</c:v>
                </c:pt>
                <c:pt idx="119">
                  <c:v>163</c:v>
                </c:pt>
                <c:pt idx="120">
                  <c:v>170</c:v>
                </c:pt>
                <c:pt idx="121">
                  <c:v>174</c:v>
                </c:pt>
                <c:pt idx="122">
                  <c:v>167</c:v>
                </c:pt>
                <c:pt idx="123">
                  <c:v>172</c:v>
                </c:pt>
                <c:pt idx="124">
                  <c:v>173</c:v>
                </c:pt>
                <c:pt idx="125">
                  <c:v>164</c:v>
                </c:pt>
                <c:pt idx="126">
                  <c:v>170</c:v>
                </c:pt>
                <c:pt idx="127">
                  <c:v>168</c:v>
                </c:pt>
                <c:pt idx="128">
                  <c:v>176</c:v>
                </c:pt>
                <c:pt idx="129">
                  <c:v>168</c:v>
                </c:pt>
                <c:pt idx="130">
                  <c:v>179</c:v>
                </c:pt>
                <c:pt idx="131">
                  <c:v>168</c:v>
                </c:pt>
                <c:pt idx="132">
                  <c:v>176</c:v>
                </c:pt>
                <c:pt idx="133">
                  <c:v>184</c:v>
                </c:pt>
                <c:pt idx="134">
                  <c:v>165</c:v>
                </c:pt>
                <c:pt idx="135">
                  <c:v>176</c:v>
                </c:pt>
                <c:pt idx="136">
                  <c:v>163</c:v>
                </c:pt>
                <c:pt idx="137">
                  <c:v>167</c:v>
                </c:pt>
                <c:pt idx="138">
                  <c:v>160</c:v>
                </c:pt>
                <c:pt idx="139">
                  <c:v>186</c:v>
                </c:pt>
                <c:pt idx="140">
                  <c:v>172</c:v>
                </c:pt>
                <c:pt idx="141">
                  <c:v>166</c:v>
                </c:pt>
                <c:pt idx="142">
                  <c:v>170</c:v>
                </c:pt>
                <c:pt idx="143">
                  <c:v>173</c:v>
                </c:pt>
                <c:pt idx="144">
                  <c:v>166</c:v>
                </c:pt>
                <c:pt idx="145">
                  <c:v>171</c:v>
                </c:pt>
                <c:pt idx="146">
                  <c:v>169</c:v>
                </c:pt>
                <c:pt idx="147">
                  <c:v>162</c:v>
                </c:pt>
                <c:pt idx="148">
                  <c:v>185</c:v>
                </c:pt>
                <c:pt idx="149">
                  <c:v>178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'1'!$C$2:$C$201</c:f>
              <c:numCache>
                <c:formatCode>General</c:formatCode>
                <c:ptCount val="200"/>
                <c:pt idx="0">
                  <c:v>65</c:v>
                </c:pt>
                <c:pt idx="1">
                  <c:v>70</c:v>
                </c:pt>
                <c:pt idx="2">
                  <c:v>57</c:v>
                </c:pt>
                <c:pt idx="3">
                  <c:v>76</c:v>
                </c:pt>
                <c:pt idx="4">
                  <c:v>59</c:v>
                </c:pt>
                <c:pt idx="5">
                  <c:v>62</c:v>
                </c:pt>
                <c:pt idx="6">
                  <c:v>76</c:v>
                </c:pt>
                <c:pt idx="7">
                  <c:v>68</c:v>
                </c:pt>
                <c:pt idx="8">
                  <c:v>66</c:v>
                </c:pt>
                <c:pt idx="9">
                  <c:v>67</c:v>
                </c:pt>
                <c:pt idx="10">
                  <c:v>55</c:v>
                </c:pt>
                <c:pt idx="11">
                  <c:v>66</c:v>
                </c:pt>
                <c:pt idx="12">
                  <c:v>63</c:v>
                </c:pt>
                <c:pt idx="13">
                  <c:v>78</c:v>
                </c:pt>
                <c:pt idx="14">
                  <c:v>56</c:v>
                </c:pt>
                <c:pt idx="15">
                  <c:v>51</c:v>
                </c:pt>
                <c:pt idx="16">
                  <c:v>62</c:v>
                </c:pt>
                <c:pt idx="17">
                  <c:v>65</c:v>
                </c:pt>
                <c:pt idx="18">
                  <c:v>63</c:v>
                </c:pt>
                <c:pt idx="19">
                  <c:v>63</c:v>
                </c:pt>
                <c:pt idx="20">
                  <c:v>73</c:v>
                </c:pt>
                <c:pt idx="21">
                  <c:v>59</c:v>
                </c:pt>
                <c:pt idx="22">
                  <c:v>65</c:v>
                </c:pt>
                <c:pt idx="23">
                  <c:v>66</c:v>
                </c:pt>
                <c:pt idx="24">
                  <c:v>66</c:v>
                </c:pt>
                <c:pt idx="25">
                  <c:v>52</c:v>
                </c:pt>
                <c:pt idx="26">
                  <c:v>63</c:v>
                </c:pt>
                <c:pt idx="27">
                  <c:v>72</c:v>
                </c:pt>
                <c:pt idx="28">
                  <c:v>63</c:v>
                </c:pt>
                <c:pt idx="29">
                  <c:v>67</c:v>
                </c:pt>
                <c:pt idx="30">
                  <c:v>61</c:v>
                </c:pt>
                <c:pt idx="31">
                  <c:v>74</c:v>
                </c:pt>
                <c:pt idx="32">
                  <c:v>81</c:v>
                </c:pt>
                <c:pt idx="33">
                  <c:v>60</c:v>
                </c:pt>
                <c:pt idx="34">
                  <c:v>60</c:v>
                </c:pt>
                <c:pt idx="35">
                  <c:v>75</c:v>
                </c:pt>
                <c:pt idx="36">
                  <c:v>53</c:v>
                </c:pt>
                <c:pt idx="37">
                  <c:v>64</c:v>
                </c:pt>
                <c:pt idx="38">
                  <c:v>69</c:v>
                </c:pt>
                <c:pt idx="39">
                  <c:v>62</c:v>
                </c:pt>
                <c:pt idx="40">
                  <c:v>63</c:v>
                </c:pt>
                <c:pt idx="41">
                  <c:v>69</c:v>
                </c:pt>
                <c:pt idx="42">
                  <c:v>68</c:v>
                </c:pt>
                <c:pt idx="43">
                  <c:v>70</c:v>
                </c:pt>
                <c:pt idx="44">
                  <c:v>54</c:v>
                </c:pt>
                <c:pt idx="45">
                  <c:v>59</c:v>
                </c:pt>
                <c:pt idx="46">
                  <c:v>63</c:v>
                </c:pt>
                <c:pt idx="47">
                  <c:v>66</c:v>
                </c:pt>
                <c:pt idx="48">
                  <c:v>73</c:v>
                </c:pt>
                <c:pt idx="49">
                  <c:v>71</c:v>
                </c:pt>
                <c:pt idx="50">
                  <c:v>61</c:v>
                </c:pt>
                <c:pt idx="51">
                  <c:v>69</c:v>
                </c:pt>
                <c:pt idx="52">
                  <c:v>70</c:v>
                </c:pt>
                <c:pt idx="53">
                  <c:v>60</c:v>
                </c:pt>
                <c:pt idx="54">
                  <c:v>69</c:v>
                </c:pt>
                <c:pt idx="55">
                  <c:v>70</c:v>
                </c:pt>
                <c:pt idx="56">
                  <c:v>58</c:v>
                </c:pt>
                <c:pt idx="57">
                  <c:v>64</c:v>
                </c:pt>
                <c:pt idx="58">
                  <c:v>57</c:v>
                </c:pt>
                <c:pt idx="59">
                  <c:v>60</c:v>
                </c:pt>
                <c:pt idx="60">
                  <c:v>61</c:v>
                </c:pt>
                <c:pt idx="61">
                  <c:v>55</c:v>
                </c:pt>
                <c:pt idx="62">
                  <c:v>63</c:v>
                </c:pt>
                <c:pt idx="63">
                  <c:v>77</c:v>
                </c:pt>
                <c:pt idx="64">
                  <c:v>64</c:v>
                </c:pt>
                <c:pt idx="65">
                  <c:v>63</c:v>
                </c:pt>
                <c:pt idx="66">
                  <c:v>78</c:v>
                </c:pt>
                <c:pt idx="67">
                  <c:v>75</c:v>
                </c:pt>
                <c:pt idx="68">
                  <c:v>74</c:v>
                </c:pt>
                <c:pt idx="69">
                  <c:v>63</c:v>
                </c:pt>
                <c:pt idx="70">
                  <c:v>75</c:v>
                </c:pt>
                <c:pt idx="71">
                  <c:v>54</c:v>
                </c:pt>
                <c:pt idx="72">
                  <c:v>66</c:v>
                </c:pt>
                <c:pt idx="73">
                  <c:v>67</c:v>
                </c:pt>
                <c:pt idx="74">
                  <c:v>62</c:v>
                </c:pt>
                <c:pt idx="75">
                  <c:v>65</c:v>
                </c:pt>
                <c:pt idx="76">
                  <c:v>66</c:v>
                </c:pt>
                <c:pt idx="77">
                  <c:v>61</c:v>
                </c:pt>
                <c:pt idx="78">
                  <c:v>66</c:v>
                </c:pt>
                <c:pt idx="79">
                  <c:v>75</c:v>
                </c:pt>
                <c:pt idx="80">
                  <c:v>53</c:v>
                </c:pt>
                <c:pt idx="81">
                  <c:v>55</c:v>
                </c:pt>
                <c:pt idx="82">
                  <c:v>66</c:v>
                </c:pt>
                <c:pt idx="83">
                  <c:v>55</c:v>
                </c:pt>
                <c:pt idx="84">
                  <c:v>65</c:v>
                </c:pt>
                <c:pt idx="85">
                  <c:v>63</c:v>
                </c:pt>
                <c:pt idx="86">
                  <c:v>68</c:v>
                </c:pt>
                <c:pt idx="87">
                  <c:v>62</c:v>
                </c:pt>
                <c:pt idx="88">
                  <c:v>75</c:v>
                </c:pt>
                <c:pt idx="89">
                  <c:v>67</c:v>
                </c:pt>
                <c:pt idx="90">
                  <c:v>56</c:v>
                </c:pt>
                <c:pt idx="91">
                  <c:v>65</c:v>
                </c:pt>
                <c:pt idx="92">
                  <c:v>63</c:v>
                </c:pt>
                <c:pt idx="93">
                  <c:v>67</c:v>
                </c:pt>
                <c:pt idx="94">
                  <c:v>68</c:v>
                </c:pt>
                <c:pt idx="95">
                  <c:v>69</c:v>
                </c:pt>
                <c:pt idx="96">
                  <c:v>57</c:v>
                </c:pt>
                <c:pt idx="97">
                  <c:v>75</c:v>
                </c:pt>
                <c:pt idx="98">
                  <c:v>53</c:v>
                </c:pt>
                <c:pt idx="99">
                  <c:v>69</c:v>
                </c:pt>
                <c:pt idx="100">
                  <c:v>70</c:v>
                </c:pt>
                <c:pt idx="101">
                  <c:v>67</c:v>
                </c:pt>
                <c:pt idx="102">
                  <c:v>58</c:v>
                </c:pt>
                <c:pt idx="103">
                  <c:v>62</c:v>
                </c:pt>
                <c:pt idx="104">
                  <c:v>68</c:v>
                </c:pt>
                <c:pt idx="105">
                  <c:v>60</c:v>
                </c:pt>
                <c:pt idx="106">
                  <c:v>75</c:v>
                </c:pt>
                <c:pt idx="107">
                  <c:v>75</c:v>
                </c:pt>
                <c:pt idx="108">
                  <c:v>55</c:v>
                </c:pt>
                <c:pt idx="109">
                  <c:v>67</c:v>
                </c:pt>
                <c:pt idx="110">
                  <c:v>63</c:v>
                </c:pt>
                <c:pt idx="111">
                  <c:v>65</c:v>
                </c:pt>
                <c:pt idx="112">
                  <c:v>64</c:v>
                </c:pt>
                <c:pt idx="113">
                  <c:v>57</c:v>
                </c:pt>
                <c:pt idx="114">
                  <c:v>66</c:v>
                </c:pt>
                <c:pt idx="115">
                  <c:v>65</c:v>
                </c:pt>
                <c:pt idx="116">
                  <c:v>57</c:v>
                </c:pt>
                <c:pt idx="117">
                  <c:v>77</c:v>
                </c:pt>
                <c:pt idx="118">
                  <c:v>68</c:v>
                </c:pt>
                <c:pt idx="119">
                  <c:v>54</c:v>
                </c:pt>
                <c:pt idx="120">
                  <c:v>75</c:v>
                </c:pt>
                <c:pt idx="121">
                  <c:v>67</c:v>
                </c:pt>
                <c:pt idx="122">
                  <c:v>65</c:v>
                </c:pt>
                <c:pt idx="123">
                  <c:v>73</c:v>
                </c:pt>
                <c:pt idx="124">
                  <c:v>69</c:v>
                </c:pt>
                <c:pt idx="125">
                  <c:v>65</c:v>
                </c:pt>
                <c:pt idx="126">
                  <c:v>58</c:v>
                </c:pt>
                <c:pt idx="127">
                  <c:v>58</c:v>
                </c:pt>
                <c:pt idx="128">
                  <c:v>67</c:v>
                </c:pt>
                <c:pt idx="129">
                  <c:v>60</c:v>
                </c:pt>
                <c:pt idx="130">
                  <c:v>71</c:v>
                </c:pt>
                <c:pt idx="131">
                  <c:v>67</c:v>
                </c:pt>
                <c:pt idx="132">
                  <c:v>65</c:v>
                </c:pt>
                <c:pt idx="133">
                  <c:v>68</c:v>
                </c:pt>
                <c:pt idx="134">
                  <c:v>60</c:v>
                </c:pt>
                <c:pt idx="135">
                  <c:v>72</c:v>
                </c:pt>
                <c:pt idx="136">
                  <c:v>65</c:v>
                </c:pt>
                <c:pt idx="137">
                  <c:v>60</c:v>
                </c:pt>
                <c:pt idx="138">
                  <c:v>57</c:v>
                </c:pt>
                <c:pt idx="139">
                  <c:v>72</c:v>
                </c:pt>
                <c:pt idx="140">
                  <c:v>67</c:v>
                </c:pt>
                <c:pt idx="141">
                  <c:v>62</c:v>
                </c:pt>
                <c:pt idx="142">
                  <c:v>61</c:v>
                </c:pt>
                <c:pt idx="143">
                  <c:v>72</c:v>
                </c:pt>
                <c:pt idx="144">
                  <c:v>67</c:v>
                </c:pt>
                <c:pt idx="145">
                  <c:v>59</c:v>
                </c:pt>
                <c:pt idx="146">
                  <c:v>67</c:v>
                </c:pt>
                <c:pt idx="147">
                  <c:v>66</c:v>
                </c:pt>
                <c:pt idx="148">
                  <c:v>82</c:v>
                </c:pt>
                <c:pt idx="149">
                  <c:v>71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6-415C-92C5-AC1EBCAB291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'13'!$B$5:$B$8</c:f>
              <c:numCache>
                <c:formatCode>General</c:formatCode>
                <c:ptCount val="4"/>
                <c:pt idx="0">
                  <c:v>156</c:v>
                </c:pt>
                <c:pt idx="1">
                  <c:v>169.47200000000001</c:v>
                </c:pt>
                <c:pt idx="2">
                  <c:v>170.4</c:v>
                </c:pt>
                <c:pt idx="3">
                  <c:v>188</c:v>
                </c:pt>
              </c:numCache>
            </c:numRef>
          </c:xVal>
          <c:yVal>
            <c:numRef>
              <c:f>'13'!$C$5:$C$8</c:f>
              <c:numCache>
                <c:formatCode>General</c:formatCode>
                <c:ptCount val="4"/>
                <c:pt idx="0">
                  <c:v>55.884665186577749</c:v>
                </c:pt>
                <c:pt idx="1">
                  <c:v>65.120500000000078</c:v>
                </c:pt>
                <c:pt idx="2">
                  <c:v>65.756697647480465</c:v>
                </c:pt>
                <c:pt idx="3">
                  <c:v>77.822515099694897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6-415C-92C5-AC1EBCAB2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82671"/>
        <c:axId val="2107581711"/>
      </c:scatterChart>
      <c:valAx>
        <c:axId val="2107582671"/>
        <c:scaling>
          <c:orientation val="minMax"/>
          <c:min val="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7581711"/>
        <c:crosses val="autoZero"/>
        <c:crossBetween val="midCat"/>
      </c:valAx>
      <c:valAx>
        <c:axId val="210758171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758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179070</xdr:rowOff>
    </xdr:from>
    <xdr:to>
      <xdr:col>9</xdr:col>
      <xdr:colOff>365760</xdr:colOff>
      <xdr:row>19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512D760-ABE9-A1BB-931E-CDC184B9F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518160</xdr:colOff>
      <xdr:row>1</xdr:row>
      <xdr:rowOff>3810</xdr:rowOff>
    </xdr:from>
    <xdr:to>
      <xdr:col>20</xdr:col>
      <xdr:colOff>457200</xdr:colOff>
      <xdr:row>19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017378A-5835-CE06-F5C1-95383AA10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</xdr:colOff>
      <xdr:row>20</xdr:row>
      <xdr:rowOff>26670</xdr:rowOff>
    </xdr:from>
    <xdr:to>
      <xdr:col>10</xdr:col>
      <xdr:colOff>350520</xdr:colOff>
      <xdr:row>36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2CEF41F-92D5-3B79-A9AC-A88FA8062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171450</xdr:rowOff>
    </xdr:from>
    <xdr:to>
      <xdr:col>11</xdr:col>
      <xdr:colOff>327660</xdr:colOff>
      <xdr:row>22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CE00F2-4484-9F13-1DFE-4FA1D64CC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53340</xdr:colOff>
      <xdr:row>22</xdr:row>
      <xdr:rowOff>11430</xdr:rowOff>
    </xdr:from>
    <xdr:ext cx="2385781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5F6302-8569-394E-70F5-8A7EEEEF0723}"/>
                </a:ext>
              </a:extLst>
            </xdr:cNvPr>
            <xdr:cNvSpPr txBox="1"/>
          </xdr:nvSpPr>
          <xdr:spPr>
            <a:xfrm>
              <a:off x="4930140" y="4050030"/>
              <a:ext cx="238578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−65.1205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6.354603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=0.657376⋅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−169.472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6.09337748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5F6302-8569-394E-70F5-8A7EEEEF0723}"/>
                </a:ext>
              </a:extLst>
            </xdr:cNvPr>
            <xdr:cNvSpPr txBox="1"/>
          </xdr:nvSpPr>
          <xdr:spPr>
            <a:xfrm>
              <a:off x="4930140" y="4050030"/>
              <a:ext cx="2385781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(𝑦−65.1205)/6.354603=0.657376⋅(𝑥−169.472)/6.09337748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15</xdr:row>
      <xdr:rowOff>19050</xdr:rowOff>
    </xdr:from>
    <xdr:to>
      <xdr:col>10</xdr:col>
      <xdr:colOff>518160</xdr:colOff>
      <xdr:row>33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7062C17-E012-F63A-39E7-E850B06A7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586740</xdr:colOff>
      <xdr:row>15</xdr:row>
      <xdr:rowOff>19050</xdr:rowOff>
    </xdr:from>
    <xdr:to>
      <xdr:col>18</xdr:col>
      <xdr:colOff>281940</xdr:colOff>
      <xdr:row>30</xdr:row>
      <xdr:rowOff>19050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2AAE27F-5B17-FDFE-3F2A-796A089DE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F2E-890F-4D77-8038-FF3591737129}">
  <dimension ref="A1:R201"/>
  <sheetViews>
    <sheetView workbookViewId="0">
      <selection activeCell="L39" sqref="L39"/>
    </sheetView>
  </sheetViews>
  <sheetFormatPr defaultRowHeight="14.4" x14ac:dyDescent="0.3"/>
  <cols>
    <col min="5" max="5" width="21.33203125" customWidth="1"/>
    <col min="11" max="11" width="26.5546875" customWidth="1"/>
    <col min="12" max="12" width="25.88671875" customWidth="1"/>
    <col min="16" max="16" width="8.88671875" style="13"/>
    <col min="17" max="17" width="15.5546875" customWidth="1"/>
    <col min="18" max="18" width="23.109375" customWidth="1"/>
  </cols>
  <sheetData>
    <row r="1" spans="1:18" ht="15" thickBot="1" x14ac:dyDescent="0.35">
      <c r="A1" s="1" t="s">
        <v>0</v>
      </c>
      <c r="B1" s="1" t="s">
        <v>1</v>
      </c>
      <c r="C1" s="1" t="s">
        <v>2</v>
      </c>
      <c r="D1" s="3"/>
      <c r="E1" s="4" t="s">
        <v>8</v>
      </c>
      <c r="F1" s="4">
        <f>COUNT(Рост)</f>
        <v>200</v>
      </c>
      <c r="G1" s="4"/>
      <c r="H1" s="1" t="s">
        <v>0</v>
      </c>
      <c r="I1" s="30" t="s">
        <v>1</v>
      </c>
      <c r="J1" s="7" t="s">
        <v>2</v>
      </c>
      <c r="K1" s="9" t="s">
        <v>4</v>
      </c>
      <c r="L1" s="9" t="s">
        <v>3</v>
      </c>
      <c r="M1" s="4"/>
      <c r="N1" s="1" t="s">
        <v>0</v>
      </c>
      <c r="O1" s="1" t="s">
        <v>1</v>
      </c>
      <c r="P1" s="31" t="s">
        <v>2</v>
      </c>
      <c r="Q1" s="9" t="s">
        <v>6</v>
      </c>
      <c r="R1" s="9" t="s">
        <v>7</v>
      </c>
    </row>
    <row r="2" spans="1:18" ht="15" thickBot="1" x14ac:dyDescent="0.35">
      <c r="A2" s="2">
        <v>1</v>
      </c>
      <c r="B2" s="2">
        <v>176</v>
      </c>
      <c r="C2" s="2">
        <v>65</v>
      </c>
      <c r="D2" s="5"/>
      <c r="E2" s="6"/>
      <c r="F2" s="6"/>
      <c r="G2" s="6"/>
      <c r="H2" s="2">
        <v>45</v>
      </c>
      <c r="I2" s="2">
        <v>156</v>
      </c>
      <c r="J2" s="8">
        <v>54</v>
      </c>
      <c r="K2" s="10">
        <v>156</v>
      </c>
      <c r="L2" s="10" cm="1">
        <f t="array" ref="L2:L33">FREQUENCY(I2:I201,K2:K32)</f>
        <v>1</v>
      </c>
      <c r="M2" s="6"/>
      <c r="N2" s="2">
        <v>16</v>
      </c>
      <c r="O2" s="2">
        <v>161</v>
      </c>
      <c r="P2" s="8">
        <v>51</v>
      </c>
      <c r="Q2" s="10">
        <v>51</v>
      </c>
      <c r="R2" s="10" cm="1">
        <f t="array" ref="R2:R33">FREQUENCY(P2:P201,Q2:Q32)</f>
        <v>1</v>
      </c>
    </row>
    <row r="3" spans="1:18" ht="15" thickBot="1" x14ac:dyDescent="0.35">
      <c r="A3" s="2">
        <v>2</v>
      </c>
      <c r="B3" s="2">
        <v>171</v>
      </c>
      <c r="C3" s="2">
        <v>70</v>
      </c>
      <c r="D3" s="5"/>
      <c r="E3" s="6"/>
      <c r="F3" s="6"/>
      <c r="G3" s="6"/>
      <c r="H3" s="2">
        <v>35</v>
      </c>
      <c r="I3" s="2">
        <v>157</v>
      </c>
      <c r="J3" s="8">
        <v>60</v>
      </c>
      <c r="K3" s="10">
        <v>157</v>
      </c>
      <c r="L3" s="10">
        <v>2</v>
      </c>
      <c r="M3" s="6"/>
      <c r="N3" s="2">
        <v>26</v>
      </c>
      <c r="O3" s="2">
        <v>161</v>
      </c>
      <c r="P3" s="8">
        <v>52</v>
      </c>
      <c r="Q3" s="10">
        <v>52</v>
      </c>
      <c r="R3" s="10">
        <v>1</v>
      </c>
    </row>
    <row r="4" spans="1:18" ht="15" thickBot="1" x14ac:dyDescent="0.35">
      <c r="A4" s="2">
        <v>3</v>
      </c>
      <c r="B4" s="2">
        <v>166</v>
      </c>
      <c r="C4" s="2">
        <v>57</v>
      </c>
      <c r="D4" s="5"/>
      <c r="E4" s="6"/>
      <c r="F4" s="6"/>
      <c r="G4" s="6"/>
      <c r="H4" s="2">
        <v>81</v>
      </c>
      <c r="I4" s="2">
        <v>157</v>
      </c>
      <c r="J4" s="8">
        <v>53</v>
      </c>
      <c r="K4" s="10">
        <v>159</v>
      </c>
      <c r="L4" s="10">
        <v>3</v>
      </c>
      <c r="M4" s="6"/>
      <c r="N4" s="2">
        <v>37</v>
      </c>
      <c r="O4" s="2">
        <v>164</v>
      </c>
      <c r="P4" s="8">
        <v>53</v>
      </c>
      <c r="Q4" s="10">
        <v>53</v>
      </c>
      <c r="R4" s="10">
        <v>3</v>
      </c>
    </row>
    <row r="5" spans="1:18" ht="15" thickBot="1" x14ac:dyDescent="0.35">
      <c r="A5" s="2">
        <v>4</v>
      </c>
      <c r="B5" s="2">
        <v>182</v>
      </c>
      <c r="C5" s="2">
        <v>76</v>
      </c>
      <c r="D5" s="5"/>
      <c r="E5" s="6"/>
      <c r="F5" s="6"/>
      <c r="G5" s="6"/>
      <c r="H5" s="2">
        <v>72</v>
      </c>
      <c r="I5" s="2">
        <v>159</v>
      </c>
      <c r="J5" s="8">
        <v>54</v>
      </c>
      <c r="K5" s="10">
        <v>160</v>
      </c>
      <c r="L5" s="10">
        <v>4</v>
      </c>
      <c r="M5" s="6"/>
      <c r="N5" s="2">
        <v>81</v>
      </c>
      <c r="O5" s="2">
        <v>157</v>
      </c>
      <c r="P5" s="8">
        <v>53</v>
      </c>
      <c r="Q5" s="10">
        <v>54</v>
      </c>
      <c r="R5" s="10">
        <v>4</v>
      </c>
    </row>
    <row r="6" spans="1:18" ht="15" thickBot="1" x14ac:dyDescent="0.35">
      <c r="A6" s="2">
        <v>5</v>
      </c>
      <c r="B6" s="2">
        <v>165</v>
      </c>
      <c r="C6" s="2">
        <v>59</v>
      </c>
      <c r="D6" s="5"/>
      <c r="E6" s="6"/>
      <c r="F6" s="6"/>
      <c r="G6" s="6"/>
      <c r="H6" s="2">
        <v>84</v>
      </c>
      <c r="I6" s="2">
        <v>159</v>
      </c>
      <c r="J6" s="8">
        <v>55</v>
      </c>
      <c r="K6" s="10">
        <v>161</v>
      </c>
      <c r="L6" s="10">
        <v>10</v>
      </c>
      <c r="M6" s="6"/>
      <c r="N6" s="2">
        <v>99</v>
      </c>
      <c r="O6" s="2">
        <v>162</v>
      </c>
      <c r="P6" s="8">
        <v>53</v>
      </c>
      <c r="Q6" s="10">
        <v>55</v>
      </c>
      <c r="R6" s="10">
        <v>7</v>
      </c>
    </row>
    <row r="7" spans="1:18" ht="15" thickBot="1" x14ac:dyDescent="0.35">
      <c r="A7" s="2">
        <v>6</v>
      </c>
      <c r="B7" s="2">
        <v>168</v>
      </c>
      <c r="C7" s="2">
        <v>62</v>
      </c>
      <c r="D7" s="5"/>
      <c r="E7" s="6"/>
      <c r="F7" s="6"/>
      <c r="G7" s="6"/>
      <c r="H7" s="2">
        <v>87</v>
      </c>
      <c r="I7" s="2">
        <v>159</v>
      </c>
      <c r="J7" s="8">
        <v>68</v>
      </c>
      <c r="K7" s="10">
        <v>162</v>
      </c>
      <c r="L7" s="10">
        <v>6</v>
      </c>
      <c r="M7" s="6"/>
      <c r="N7" s="2">
        <v>45</v>
      </c>
      <c r="O7" s="2">
        <v>156</v>
      </c>
      <c r="P7" s="8">
        <v>54</v>
      </c>
      <c r="Q7" s="10">
        <v>56</v>
      </c>
      <c r="R7" s="10">
        <v>2</v>
      </c>
    </row>
    <row r="8" spans="1:18" ht="15" thickBot="1" x14ac:dyDescent="0.35">
      <c r="A8" s="2">
        <v>7</v>
      </c>
      <c r="B8" s="2">
        <v>170</v>
      </c>
      <c r="C8" s="2">
        <v>76</v>
      </c>
      <c r="D8" s="5"/>
      <c r="E8" s="6"/>
      <c r="F8" s="6"/>
      <c r="G8" s="6"/>
      <c r="H8" s="2">
        <v>51</v>
      </c>
      <c r="I8" s="2">
        <v>160</v>
      </c>
      <c r="J8" s="8">
        <v>61</v>
      </c>
      <c r="K8" s="10">
        <v>163</v>
      </c>
      <c r="L8" s="10">
        <v>10</v>
      </c>
      <c r="M8" s="6"/>
      <c r="N8" s="2">
        <v>72</v>
      </c>
      <c r="O8" s="2">
        <v>159</v>
      </c>
      <c r="P8" s="8">
        <v>54</v>
      </c>
      <c r="Q8" s="10">
        <v>57</v>
      </c>
      <c r="R8" s="10">
        <v>7</v>
      </c>
    </row>
    <row r="9" spans="1:18" ht="15" thickBot="1" x14ac:dyDescent="0.35">
      <c r="A9" s="2">
        <v>8</v>
      </c>
      <c r="B9" s="2">
        <v>181</v>
      </c>
      <c r="C9" s="2">
        <v>68</v>
      </c>
      <c r="D9" s="5"/>
      <c r="E9" s="6"/>
      <c r="F9" s="6"/>
      <c r="G9" s="6"/>
      <c r="H9" s="2">
        <v>88</v>
      </c>
      <c r="I9" s="2">
        <v>160</v>
      </c>
      <c r="J9" s="8">
        <v>62</v>
      </c>
      <c r="K9" s="10">
        <v>164</v>
      </c>
      <c r="L9" s="10">
        <v>6</v>
      </c>
      <c r="M9" s="6"/>
      <c r="N9" s="2">
        <v>120</v>
      </c>
      <c r="O9" s="2">
        <v>163</v>
      </c>
      <c r="P9" s="8">
        <v>54</v>
      </c>
      <c r="Q9" s="10">
        <v>58</v>
      </c>
      <c r="R9" s="10">
        <v>4</v>
      </c>
    </row>
    <row r="10" spans="1:18" ht="15" thickBot="1" x14ac:dyDescent="0.35">
      <c r="A10" s="2">
        <v>9</v>
      </c>
      <c r="B10" s="2">
        <v>161</v>
      </c>
      <c r="C10" s="2">
        <v>66</v>
      </c>
      <c r="D10" s="5"/>
      <c r="E10" s="6"/>
      <c r="F10" s="6"/>
      <c r="G10" s="6"/>
      <c r="H10" s="2">
        <v>114</v>
      </c>
      <c r="I10" s="2">
        <v>160</v>
      </c>
      <c r="J10" s="8">
        <v>57</v>
      </c>
      <c r="K10" s="10">
        <v>165</v>
      </c>
      <c r="L10" s="10">
        <v>16</v>
      </c>
      <c r="M10" s="6"/>
      <c r="N10" s="2">
        <v>157</v>
      </c>
      <c r="O10" s="2">
        <v>162</v>
      </c>
      <c r="P10" s="8">
        <v>54</v>
      </c>
      <c r="Q10" s="10">
        <v>59</v>
      </c>
      <c r="R10" s="10">
        <v>4</v>
      </c>
    </row>
    <row r="11" spans="1:18" ht="15" thickBot="1" x14ac:dyDescent="0.35">
      <c r="A11" s="2">
        <v>10</v>
      </c>
      <c r="B11" s="2">
        <v>168</v>
      </c>
      <c r="C11" s="2">
        <v>67</v>
      </c>
      <c r="D11" s="5"/>
      <c r="E11" s="6"/>
      <c r="F11" s="6"/>
      <c r="G11" s="6"/>
      <c r="H11" s="2">
        <v>139</v>
      </c>
      <c r="I11" s="2">
        <v>160</v>
      </c>
      <c r="J11" s="8">
        <v>57</v>
      </c>
      <c r="K11" s="10">
        <v>166</v>
      </c>
      <c r="L11" s="10">
        <v>9</v>
      </c>
      <c r="M11" s="6"/>
      <c r="N11" s="2">
        <v>11</v>
      </c>
      <c r="O11" s="2">
        <v>161</v>
      </c>
      <c r="P11" s="8">
        <v>55</v>
      </c>
      <c r="Q11" s="10">
        <v>60</v>
      </c>
      <c r="R11" s="10">
        <v>10</v>
      </c>
    </row>
    <row r="12" spans="1:18" ht="15" thickBot="1" x14ac:dyDescent="0.35">
      <c r="A12" s="2">
        <v>11</v>
      </c>
      <c r="B12" s="2">
        <v>161</v>
      </c>
      <c r="C12" s="2">
        <v>55</v>
      </c>
      <c r="D12" s="5"/>
      <c r="E12" s="6"/>
      <c r="F12" s="6"/>
      <c r="G12" s="6"/>
      <c r="H12" s="2">
        <v>9</v>
      </c>
      <c r="I12" s="2">
        <v>161</v>
      </c>
      <c r="J12" s="8">
        <v>66</v>
      </c>
      <c r="K12" s="10">
        <v>167</v>
      </c>
      <c r="L12" s="10">
        <v>10</v>
      </c>
      <c r="M12" s="6"/>
      <c r="N12" s="2">
        <v>62</v>
      </c>
      <c r="O12" s="2">
        <v>166</v>
      </c>
      <c r="P12" s="8">
        <v>55</v>
      </c>
      <c r="Q12" s="10">
        <v>61</v>
      </c>
      <c r="R12" s="10">
        <v>9</v>
      </c>
    </row>
    <row r="13" spans="1:18" ht="15" thickBot="1" x14ac:dyDescent="0.35">
      <c r="A13" s="2">
        <v>12</v>
      </c>
      <c r="B13" s="2">
        <v>161</v>
      </c>
      <c r="C13" s="2">
        <v>66</v>
      </c>
      <c r="D13" s="5"/>
      <c r="E13" s="6"/>
      <c r="F13" s="6"/>
      <c r="G13" s="6"/>
      <c r="H13" s="2">
        <v>11</v>
      </c>
      <c r="I13" s="2">
        <v>161</v>
      </c>
      <c r="J13" s="8">
        <v>55</v>
      </c>
      <c r="K13" s="10">
        <v>168</v>
      </c>
      <c r="L13" s="10">
        <v>14</v>
      </c>
      <c r="M13" s="6"/>
      <c r="N13" s="2">
        <v>82</v>
      </c>
      <c r="O13" s="2">
        <v>161</v>
      </c>
      <c r="P13" s="8">
        <v>55</v>
      </c>
      <c r="Q13" s="10">
        <v>62</v>
      </c>
      <c r="R13" s="10">
        <v>8</v>
      </c>
    </row>
    <row r="14" spans="1:18" ht="15" thickBot="1" x14ac:dyDescent="0.35">
      <c r="A14" s="2">
        <v>13</v>
      </c>
      <c r="B14" s="2">
        <v>165</v>
      </c>
      <c r="C14" s="2">
        <v>63</v>
      </c>
      <c r="D14" s="5"/>
      <c r="E14" s="6"/>
      <c r="F14" s="6"/>
      <c r="G14" s="6"/>
      <c r="H14" s="2">
        <v>12</v>
      </c>
      <c r="I14" s="2">
        <v>161</v>
      </c>
      <c r="J14" s="8">
        <v>66</v>
      </c>
      <c r="K14" s="10">
        <v>169</v>
      </c>
      <c r="L14" s="10">
        <v>10</v>
      </c>
      <c r="M14" s="6"/>
      <c r="N14" s="2">
        <v>84</v>
      </c>
      <c r="O14" s="2">
        <v>159</v>
      </c>
      <c r="P14" s="8">
        <v>55</v>
      </c>
      <c r="Q14" s="10">
        <v>63</v>
      </c>
      <c r="R14" s="10">
        <v>19</v>
      </c>
    </row>
    <row r="15" spans="1:18" ht="15" thickBot="1" x14ac:dyDescent="0.35">
      <c r="A15" s="2">
        <v>14</v>
      </c>
      <c r="B15" s="2">
        <v>176</v>
      </c>
      <c r="C15" s="2">
        <v>78</v>
      </c>
      <c r="D15" s="5"/>
      <c r="E15" s="6"/>
      <c r="F15" s="6"/>
      <c r="G15" s="6"/>
      <c r="H15" s="2">
        <v>16</v>
      </c>
      <c r="I15" s="2">
        <v>161</v>
      </c>
      <c r="J15" s="8">
        <v>51</v>
      </c>
      <c r="K15" s="10">
        <v>170</v>
      </c>
      <c r="L15" s="10">
        <v>15</v>
      </c>
      <c r="M15" s="6"/>
      <c r="N15" s="2">
        <v>109</v>
      </c>
      <c r="O15" s="2">
        <v>168</v>
      </c>
      <c r="P15" s="8">
        <v>55</v>
      </c>
      <c r="Q15" s="10">
        <v>64</v>
      </c>
      <c r="R15" s="10">
        <v>5</v>
      </c>
    </row>
    <row r="16" spans="1:18" ht="15" thickBot="1" x14ac:dyDescent="0.35">
      <c r="A16" s="2">
        <v>15</v>
      </c>
      <c r="B16" s="2">
        <v>165</v>
      </c>
      <c r="C16" s="2">
        <v>56</v>
      </c>
      <c r="D16" s="5"/>
      <c r="E16" s="6"/>
      <c r="F16" s="6"/>
      <c r="G16" s="6"/>
      <c r="H16" s="2">
        <v>22</v>
      </c>
      <c r="I16" s="2">
        <v>161</v>
      </c>
      <c r="J16" s="8">
        <v>59</v>
      </c>
      <c r="K16" s="10">
        <v>171</v>
      </c>
      <c r="L16" s="10">
        <v>16</v>
      </c>
      <c r="M16" s="6"/>
      <c r="N16" s="2">
        <v>170</v>
      </c>
      <c r="O16" s="2">
        <v>161</v>
      </c>
      <c r="P16" s="8">
        <v>55</v>
      </c>
      <c r="Q16" s="10">
        <v>65</v>
      </c>
      <c r="R16" s="10">
        <v>16</v>
      </c>
    </row>
    <row r="17" spans="1:18" ht="15" thickBot="1" x14ac:dyDescent="0.35">
      <c r="A17" s="2">
        <v>16</v>
      </c>
      <c r="B17" s="2">
        <v>161</v>
      </c>
      <c r="C17" s="2">
        <v>51</v>
      </c>
      <c r="D17" s="5"/>
      <c r="E17" s="6"/>
      <c r="F17" s="6"/>
      <c r="G17" s="6"/>
      <c r="H17" s="2">
        <v>26</v>
      </c>
      <c r="I17" s="2">
        <v>161</v>
      </c>
      <c r="J17" s="8">
        <v>52</v>
      </c>
      <c r="K17" s="10">
        <v>172</v>
      </c>
      <c r="L17" s="10">
        <v>13</v>
      </c>
      <c r="M17" s="6"/>
      <c r="N17" s="2">
        <v>178</v>
      </c>
      <c r="O17" s="2">
        <v>167</v>
      </c>
      <c r="P17" s="8">
        <v>55</v>
      </c>
      <c r="Q17" s="10">
        <v>66</v>
      </c>
      <c r="R17" s="10">
        <v>17</v>
      </c>
    </row>
    <row r="18" spans="1:18" ht="15" thickBot="1" x14ac:dyDescent="0.35">
      <c r="A18" s="2">
        <v>17</v>
      </c>
      <c r="B18" s="2">
        <v>166</v>
      </c>
      <c r="C18" s="2">
        <v>62</v>
      </c>
      <c r="D18" s="5"/>
      <c r="E18" s="6"/>
      <c r="F18" s="6"/>
      <c r="G18" s="6"/>
      <c r="H18" s="2">
        <v>40</v>
      </c>
      <c r="I18" s="2">
        <v>161</v>
      </c>
      <c r="J18" s="8">
        <v>62</v>
      </c>
      <c r="K18" s="10">
        <v>173</v>
      </c>
      <c r="L18" s="10">
        <v>11</v>
      </c>
      <c r="M18" s="6"/>
      <c r="N18" s="2">
        <v>15</v>
      </c>
      <c r="O18" s="2">
        <v>165</v>
      </c>
      <c r="P18" s="8">
        <v>56</v>
      </c>
      <c r="Q18" s="10">
        <v>67</v>
      </c>
      <c r="R18" s="10">
        <v>17</v>
      </c>
    </row>
    <row r="19" spans="1:18" ht="15" thickBot="1" x14ac:dyDescent="0.35">
      <c r="A19" s="2">
        <v>18</v>
      </c>
      <c r="B19" s="2">
        <v>167</v>
      </c>
      <c r="C19" s="2">
        <v>65</v>
      </c>
      <c r="D19" s="5"/>
      <c r="E19" s="6"/>
      <c r="F19" s="6"/>
      <c r="G19" s="6"/>
      <c r="H19" s="2">
        <v>46</v>
      </c>
      <c r="I19" s="2">
        <v>161</v>
      </c>
      <c r="J19" s="8">
        <v>59</v>
      </c>
      <c r="K19" s="10">
        <v>174</v>
      </c>
      <c r="L19" s="10">
        <v>6</v>
      </c>
      <c r="M19" s="6"/>
      <c r="N19" s="2">
        <v>91</v>
      </c>
      <c r="O19" s="2">
        <v>169</v>
      </c>
      <c r="P19" s="8">
        <v>56</v>
      </c>
      <c r="Q19" s="10">
        <v>68</v>
      </c>
      <c r="R19" s="10">
        <v>8</v>
      </c>
    </row>
    <row r="20" spans="1:18" ht="15" thickBot="1" x14ac:dyDescent="0.35">
      <c r="A20" s="2">
        <v>19</v>
      </c>
      <c r="B20" s="2">
        <v>167</v>
      </c>
      <c r="C20" s="2">
        <v>63</v>
      </c>
      <c r="D20" s="5"/>
      <c r="E20" s="6"/>
      <c r="F20" s="6"/>
      <c r="G20" s="6"/>
      <c r="H20" s="2">
        <v>82</v>
      </c>
      <c r="I20" s="2">
        <v>161</v>
      </c>
      <c r="J20" s="8">
        <v>55</v>
      </c>
      <c r="K20" s="10">
        <v>175</v>
      </c>
      <c r="L20" s="10">
        <v>6</v>
      </c>
      <c r="M20" s="6"/>
      <c r="N20" s="2">
        <v>3</v>
      </c>
      <c r="O20" s="2">
        <v>166</v>
      </c>
      <c r="P20" s="8">
        <v>57</v>
      </c>
      <c r="Q20" s="10">
        <v>69</v>
      </c>
      <c r="R20" s="10">
        <v>13</v>
      </c>
    </row>
    <row r="21" spans="1:18" ht="15" thickBot="1" x14ac:dyDescent="0.35">
      <c r="A21" s="2">
        <v>20</v>
      </c>
      <c r="B21" s="2">
        <v>165</v>
      </c>
      <c r="C21" s="2">
        <v>63</v>
      </c>
      <c r="D21" s="5"/>
      <c r="E21" s="6"/>
      <c r="F21" s="6"/>
      <c r="G21" s="6"/>
      <c r="H21" s="2">
        <v>170</v>
      </c>
      <c r="I21" s="2">
        <v>161</v>
      </c>
      <c r="J21" s="8">
        <v>55</v>
      </c>
      <c r="K21" s="10">
        <v>176</v>
      </c>
      <c r="L21" s="10">
        <v>12</v>
      </c>
      <c r="M21" s="6"/>
      <c r="N21" s="2">
        <v>59</v>
      </c>
      <c r="O21" s="2">
        <v>165</v>
      </c>
      <c r="P21" s="8">
        <v>57</v>
      </c>
      <c r="Q21" s="10">
        <v>70</v>
      </c>
      <c r="R21" s="10">
        <v>10</v>
      </c>
    </row>
    <row r="22" spans="1:18" ht="15" thickBot="1" x14ac:dyDescent="0.35">
      <c r="A22" s="2">
        <v>21</v>
      </c>
      <c r="B22" s="2">
        <v>168</v>
      </c>
      <c r="C22" s="2">
        <v>73</v>
      </c>
      <c r="D22" s="5"/>
      <c r="E22" s="6"/>
      <c r="F22" s="6"/>
      <c r="G22" s="6"/>
      <c r="H22" s="2">
        <v>34</v>
      </c>
      <c r="I22" s="2">
        <v>162</v>
      </c>
      <c r="J22" s="8">
        <v>60</v>
      </c>
      <c r="K22" s="10">
        <v>177</v>
      </c>
      <c r="L22" s="10">
        <v>2</v>
      </c>
      <c r="M22" s="6"/>
      <c r="N22" s="2">
        <v>97</v>
      </c>
      <c r="O22" s="2">
        <v>163</v>
      </c>
      <c r="P22" s="8">
        <v>57</v>
      </c>
      <c r="Q22" s="10">
        <v>71</v>
      </c>
      <c r="R22" s="10">
        <v>4</v>
      </c>
    </row>
    <row r="23" spans="1:18" ht="15" thickBot="1" x14ac:dyDescent="0.35">
      <c r="A23" s="2">
        <v>22</v>
      </c>
      <c r="B23" s="2">
        <v>161</v>
      </c>
      <c r="C23" s="2">
        <v>59</v>
      </c>
      <c r="D23" s="5"/>
      <c r="E23" s="6"/>
      <c r="F23" s="6"/>
      <c r="G23" s="6"/>
      <c r="H23" s="2">
        <v>79</v>
      </c>
      <c r="I23" s="2">
        <v>162</v>
      </c>
      <c r="J23" s="8">
        <v>66</v>
      </c>
      <c r="K23" s="10">
        <v>178</v>
      </c>
      <c r="L23" s="10">
        <v>5</v>
      </c>
      <c r="M23" s="6"/>
      <c r="N23" s="2">
        <v>114</v>
      </c>
      <c r="O23" s="2">
        <v>160</v>
      </c>
      <c r="P23" s="8">
        <v>57</v>
      </c>
      <c r="Q23" s="10">
        <v>72</v>
      </c>
      <c r="R23" s="10">
        <v>5</v>
      </c>
    </row>
    <row r="24" spans="1:18" ht="15" thickBot="1" x14ac:dyDescent="0.35">
      <c r="A24" s="2">
        <v>23</v>
      </c>
      <c r="B24" s="2">
        <v>163</v>
      </c>
      <c r="C24" s="2">
        <v>65</v>
      </c>
      <c r="D24" s="5"/>
      <c r="E24" s="6"/>
      <c r="F24" s="6"/>
      <c r="G24" s="6"/>
      <c r="H24" s="2">
        <v>85</v>
      </c>
      <c r="I24" s="2">
        <v>162</v>
      </c>
      <c r="J24" s="8">
        <v>65</v>
      </c>
      <c r="K24" s="10">
        <v>179</v>
      </c>
      <c r="L24" s="10">
        <v>1</v>
      </c>
      <c r="M24" s="6"/>
      <c r="N24" s="2">
        <v>117</v>
      </c>
      <c r="O24" s="2">
        <v>165</v>
      </c>
      <c r="P24" s="8">
        <v>57</v>
      </c>
      <c r="Q24" s="10">
        <v>73</v>
      </c>
      <c r="R24" s="10">
        <v>3</v>
      </c>
    </row>
    <row r="25" spans="1:18" ht="15" thickBot="1" x14ac:dyDescent="0.35">
      <c r="A25" s="2">
        <v>24</v>
      </c>
      <c r="B25" s="2">
        <v>168</v>
      </c>
      <c r="C25" s="2">
        <v>66</v>
      </c>
      <c r="D25" s="5"/>
      <c r="E25" s="6"/>
      <c r="F25" s="6"/>
      <c r="G25" s="6"/>
      <c r="H25" s="2">
        <v>99</v>
      </c>
      <c r="I25" s="2">
        <v>162</v>
      </c>
      <c r="J25" s="8">
        <v>53</v>
      </c>
      <c r="K25" s="10">
        <v>180</v>
      </c>
      <c r="L25" s="10">
        <v>3</v>
      </c>
      <c r="M25" s="6"/>
      <c r="N25" s="2">
        <v>139</v>
      </c>
      <c r="O25" s="2">
        <v>160</v>
      </c>
      <c r="P25" s="8">
        <v>57</v>
      </c>
      <c r="Q25" s="10">
        <v>74</v>
      </c>
      <c r="R25" s="10">
        <v>4</v>
      </c>
    </row>
    <row r="26" spans="1:18" ht="15" thickBot="1" x14ac:dyDescent="0.35">
      <c r="A26" s="2">
        <v>25</v>
      </c>
      <c r="B26" s="2">
        <v>175</v>
      </c>
      <c r="C26" s="2">
        <v>66</v>
      </c>
      <c r="D26" s="5"/>
      <c r="E26" s="6"/>
      <c r="F26" s="6"/>
      <c r="G26" s="6"/>
      <c r="H26" s="2">
        <v>148</v>
      </c>
      <c r="I26" s="2">
        <v>162</v>
      </c>
      <c r="J26" s="8">
        <v>66</v>
      </c>
      <c r="K26" s="10">
        <v>181</v>
      </c>
      <c r="L26" s="10">
        <v>2</v>
      </c>
      <c r="M26" s="6"/>
      <c r="N26" s="2">
        <v>153</v>
      </c>
      <c r="O26" s="2">
        <v>171</v>
      </c>
      <c r="P26" s="8">
        <v>57</v>
      </c>
      <c r="Q26" s="10">
        <v>75</v>
      </c>
      <c r="R26" s="10">
        <v>9</v>
      </c>
    </row>
    <row r="27" spans="1:18" ht="15" thickBot="1" x14ac:dyDescent="0.35">
      <c r="A27" s="2">
        <v>26</v>
      </c>
      <c r="B27" s="2">
        <v>161</v>
      </c>
      <c r="C27" s="2">
        <v>52</v>
      </c>
      <c r="D27" s="5"/>
      <c r="E27" s="6"/>
      <c r="F27" s="6"/>
      <c r="G27" s="6"/>
      <c r="H27" s="2">
        <v>157</v>
      </c>
      <c r="I27" s="2">
        <v>162</v>
      </c>
      <c r="J27" s="8">
        <v>54</v>
      </c>
      <c r="K27" s="10">
        <v>182</v>
      </c>
      <c r="L27" s="10">
        <v>1</v>
      </c>
      <c r="M27" s="6"/>
      <c r="N27" s="2">
        <v>57</v>
      </c>
      <c r="O27" s="2">
        <v>170</v>
      </c>
      <c r="P27" s="8">
        <v>58</v>
      </c>
      <c r="Q27" s="10">
        <v>76</v>
      </c>
      <c r="R27" s="10">
        <v>2</v>
      </c>
    </row>
    <row r="28" spans="1:18" ht="15" thickBot="1" x14ac:dyDescent="0.35">
      <c r="A28" s="2">
        <v>27</v>
      </c>
      <c r="B28" s="2">
        <v>171</v>
      </c>
      <c r="C28" s="2">
        <v>63</v>
      </c>
      <c r="D28" s="5"/>
      <c r="E28" s="6"/>
      <c r="F28" s="6"/>
      <c r="G28" s="6"/>
      <c r="H28" s="2">
        <v>23</v>
      </c>
      <c r="I28" s="2">
        <v>163</v>
      </c>
      <c r="J28" s="8">
        <v>65</v>
      </c>
      <c r="K28" s="10">
        <v>183</v>
      </c>
      <c r="L28" s="10">
        <v>1</v>
      </c>
      <c r="M28" s="6"/>
      <c r="N28" s="2">
        <v>103</v>
      </c>
      <c r="O28" s="2">
        <v>163</v>
      </c>
      <c r="P28" s="8">
        <v>58</v>
      </c>
      <c r="Q28" s="10">
        <v>77</v>
      </c>
      <c r="R28" s="10">
        <v>2</v>
      </c>
    </row>
    <row r="29" spans="1:18" ht="15" thickBot="1" x14ac:dyDescent="0.35">
      <c r="A29" s="2">
        <v>28</v>
      </c>
      <c r="B29" s="2">
        <v>184</v>
      </c>
      <c r="C29" s="2">
        <v>72</v>
      </c>
      <c r="D29" s="5"/>
      <c r="E29" s="6"/>
      <c r="F29" s="6"/>
      <c r="G29" s="6"/>
      <c r="H29" s="2">
        <v>58</v>
      </c>
      <c r="I29" s="2">
        <v>163</v>
      </c>
      <c r="J29" s="8">
        <v>64</v>
      </c>
      <c r="K29" s="10">
        <v>184</v>
      </c>
      <c r="L29" s="10">
        <v>2</v>
      </c>
      <c r="M29" s="6"/>
      <c r="N29" s="2">
        <v>127</v>
      </c>
      <c r="O29" s="2">
        <v>170</v>
      </c>
      <c r="P29" s="8">
        <v>58</v>
      </c>
      <c r="Q29" s="10">
        <v>78</v>
      </c>
      <c r="R29" s="10">
        <v>3</v>
      </c>
    </row>
    <row r="30" spans="1:18" ht="15" thickBot="1" x14ac:dyDescent="0.35">
      <c r="A30" s="2">
        <v>29</v>
      </c>
      <c r="B30" s="2">
        <v>173</v>
      </c>
      <c r="C30" s="2">
        <v>63</v>
      </c>
      <c r="D30" s="5"/>
      <c r="E30" s="6"/>
      <c r="F30" s="6"/>
      <c r="G30" s="6"/>
      <c r="H30" s="2">
        <v>90</v>
      </c>
      <c r="I30" s="2">
        <v>163</v>
      </c>
      <c r="J30" s="8">
        <v>67</v>
      </c>
      <c r="K30" s="10">
        <v>185</v>
      </c>
      <c r="L30" s="10">
        <v>1</v>
      </c>
      <c r="M30" s="6"/>
      <c r="N30" s="2">
        <v>128</v>
      </c>
      <c r="O30" s="2">
        <v>168</v>
      </c>
      <c r="P30" s="8">
        <v>58</v>
      </c>
      <c r="Q30" s="10">
        <v>79</v>
      </c>
      <c r="R30" s="10">
        <v>1</v>
      </c>
    </row>
    <row r="31" spans="1:18" ht="15" thickBot="1" x14ac:dyDescent="0.35">
      <c r="A31" s="2">
        <v>30</v>
      </c>
      <c r="B31" s="2">
        <v>166</v>
      </c>
      <c r="C31" s="2">
        <v>67</v>
      </c>
      <c r="D31" s="5"/>
      <c r="E31" s="6"/>
      <c r="F31" s="6"/>
      <c r="G31" s="6"/>
      <c r="H31" s="2">
        <v>97</v>
      </c>
      <c r="I31" s="2">
        <v>163</v>
      </c>
      <c r="J31" s="8">
        <v>57</v>
      </c>
      <c r="K31" s="10">
        <v>186</v>
      </c>
      <c r="L31" s="10">
        <v>1</v>
      </c>
      <c r="M31" s="6"/>
      <c r="N31" s="2">
        <v>5</v>
      </c>
      <c r="O31" s="2">
        <v>165</v>
      </c>
      <c r="P31" s="8">
        <v>59</v>
      </c>
      <c r="Q31" s="10">
        <v>81</v>
      </c>
      <c r="R31" s="10">
        <v>1</v>
      </c>
    </row>
    <row r="32" spans="1:18" ht="15" thickBot="1" x14ac:dyDescent="0.35">
      <c r="A32" s="2">
        <v>31</v>
      </c>
      <c r="B32" s="2">
        <v>170</v>
      </c>
      <c r="C32" s="2">
        <v>61</v>
      </c>
      <c r="D32" s="5"/>
      <c r="E32" s="6"/>
      <c r="F32" s="6"/>
      <c r="G32" s="6"/>
      <c r="H32" s="2">
        <v>103</v>
      </c>
      <c r="I32" s="2">
        <v>163</v>
      </c>
      <c r="J32" s="8">
        <v>58</v>
      </c>
      <c r="K32" s="10">
        <v>188</v>
      </c>
      <c r="L32" s="10">
        <v>1</v>
      </c>
      <c r="M32" s="6"/>
      <c r="N32" s="2">
        <v>22</v>
      </c>
      <c r="O32" s="2">
        <v>161</v>
      </c>
      <c r="P32" s="8">
        <v>59</v>
      </c>
      <c r="Q32" s="10">
        <v>82</v>
      </c>
      <c r="R32" s="10">
        <v>1</v>
      </c>
    </row>
    <row r="33" spans="1:18" x14ac:dyDescent="0.3">
      <c r="A33" s="2">
        <v>32</v>
      </c>
      <c r="B33" s="2">
        <v>172</v>
      </c>
      <c r="C33" s="2">
        <v>74</v>
      </c>
      <c r="D33" s="5"/>
      <c r="E33" s="6"/>
      <c r="F33" s="6"/>
      <c r="G33" s="6"/>
      <c r="H33" s="2">
        <v>120</v>
      </c>
      <c r="I33" s="2">
        <v>163</v>
      </c>
      <c r="J33" s="2">
        <v>54</v>
      </c>
      <c r="L33" s="6">
        <v>0</v>
      </c>
      <c r="M33" s="6"/>
      <c r="N33" s="2">
        <v>46</v>
      </c>
      <c r="O33" s="2">
        <v>161</v>
      </c>
      <c r="P33" s="2">
        <v>59</v>
      </c>
      <c r="R33" s="6">
        <v>0</v>
      </c>
    </row>
    <row r="34" spans="1:18" x14ac:dyDescent="0.3">
      <c r="A34" s="2">
        <v>33</v>
      </c>
      <c r="B34" s="2">
        <v>176</v>
      </c>
      <c r="C34" s="2">
        <v>81</v>
      </c>
      <c r="D34" s="5"/>
      <c r="E34" s="6"/>
      <c r="F34" s="6"/>
      <c r="G34" s="6"/>
      <c r="H34" s="2">
        <v>137</v>
      </c>
      <c r="I34" s="2">
        <v>163</v>
      </c>
      <c r="J34" s="2">
        <v>65</v>
      </c>
      <c r="K34" s="29" t="s">
        <v>5</v>
      </c>
      <c r="L34" s="12">
        <f>SUM(L2:L32)</f>
        <v>200</v>
      </c>
      <c r="M34" s="6"/>
      <c r="N34" s="2">
        <v>146</v>
      </c>
      <c r="O34" s="2">
        <v>171</v>
      </c>
      <c r="P34" s="2">
        <v>59</v>
      </c>
      <c r="Q34" s="29" t="s">
        <v>5</v>
      </c>
      <c r="R34" s="12">
        <f>SUM(R2:R32)</f>
        <v>200</v>
      </c>
    </row>
    <row r="35" spans="1:18" x14ac:dyDescent="0.3">
      <c r="A35" s="2">
        <v>34</v>
      </c>
      <c r="B35" s="2">
        <v>162</v>
      </c>
      <c r="C35" s="2">
        <v>60</v>
      </c>
      <c r="D35" s="5"/>
      <c r="E35" s="6"/>
      <c r="F35" s="6"/>
      <c r="G35" s="6"/>
      <c r="H35" s="2">
        <v>152</v>
      </c>
      <c r="I35" s="2">
        <v>163</v>
      </c>
      <c r="J35" s="2">
        <v>63</v>
      </c>
      <c r="L35" s="6"/>
      <c r="M35" s="6"/>
      <c r="N35" s="2">
        <v>34</v>
      </c>
      <c r="O35" s="2">
        <v>162</v>
      </c>
      <c r="P35" s="2">
        <v>60</v>
      </c>
      <c r="R35" s="6"/>
    </row>
    <row r="36" spans="1:18" x14ac:dyDescent="0.3">
      <c r="A36" s="2">
        <v>35</v>
      </c>
      <c r="B36" s="2">
        <v>157</v>
      </c>
      <c r="C36" s="2">
        <v>60</v>
      </c>
      <c r="D36" s="5"/>
      <c r="E36" s="6"/>
      <c r="F36" s="6"/>
      <c r="G36" s="6"/>
      <c r="H36" s="2">
        <v>158</v>
      </c>
      <c r="I36" s="2">
        <v>163</v>
      </c>
      <c r="J36" s="2">
        <v>60</v>
      </c>
      <c r="L36" s="6"/>
      <c r="M36" s="6"/>
      <c r="N36" s="2">
        <v>35</v>
      </c>
      <c r="O36" s="2">
        <v>157</v>
      </c>
      <c r="P36" s="2">
        <v>60</v>
      </c>
      <c r="R36" s="6"/>
    </row>
    <row r="37" spans="1:18" x14ac:dyDescent="0.3">
      <c r="A37" s="2">
        <v>36</v>
      </c>
      <c r="B37" s="2">
        <v>188</v>
      </c>
      <c r="C37" s="2">
        <v>75</v>
      </c>
      <c r="D37" s="5"/>
      <c r="E37" s="6"/>
      <c r="F37" s="6"/>
      <c r="G37" s="6"/>
      <c r="H37" s="2">
        <v>177</v>
      </c>
      <c r="I37" s="2">
        <v>163</v>
      </c>
      <c r="J37" s="2">
        <v>65</v>
      </c>
      <c r="L37" s="6"/>
      <c r="M37" s="6"/>
      <c r="N37" s="2">
        <v>54</v>
      </c>
      <c r="O37" s="2">
        <v>168</v>
      </c>
      <c r="P37" s="2">
        <v>60</v>
      </c>
      <c r="R37" s="6"/>
    </row>
    <row r="38" spans="1:18" x14ac:dyDescent="0.3">
      <c r="A38" s="2">
        <v>37</v>
      </c>
      <c r="B38" s="2">
        <v>164</v>
      </c>
      <c r="C38" s="2">
        <v>53</v>
      </c>
      <c r="D38" s="5"/>
      <c r="E38" s="6"/>
      <c r="F38" s="6"/>
      <c r="G38" s="6"/>
      <c r="H38" s="2">
        <v>37</v>
      </c>
      <c r="I38" s="2">
        <v>164</v>
      </c>
      <c r="J38" s="2">
        <v>53</v>
      </c>
      <c r="L38" s="6"/>
      <c r="M38" s="6"/>
      <c r="N38" s="2">
        <v>60</v>
      </c>
      <c r="O38" s="2">
        <v>165</v>
      </c>
      <c r="P38" s="2">
        <v>60</v>
      </c>
      <c r="R38" s="6"/>
    </row>
    <row r="39" spans="1:18" x14ac:dyDescent="0.3">
      <c r="A39" s="2">
        <v>38</v>
      </c>
      <c r="B39" s="2">
        <v>167</v>
      </c>
      <c r="C39" s="2">
        <v>64</v>
      </c>
      <c r="D39" s="5"/>
      <c r="E39" s="6"/>
      <c r="F39" s="6"/>
      <c r="G39" s="6"/>
      <c r="H39" s="2">
        <v>101</v>
      </c>
      <c r="I39" s="2">
        <v>164</v>
      </c>
      <c r="J39" s="2">
        <v>70</v>
      </c>
      <c r="L39" s="6"/>
      <c r="M39" s="6"/>
      <c r="N39" s="2">
        <v>106</v>
      </c>
      <c r="O39" s="2">
        <v>177</v>
      </c>
      <c r="P39" s="2">
        <v>60</v>
      </c>
      <c r="R39" s="6"/>
    </row>
    <row r="40" spans="1:18" x14ac:dyDescent="0.3">
      <c r="A40" s="2">
        <v>39</v>
      </c>
      <c r="B40" s="2">
        <v>174</v>
      </c>
      <c r="C40" s="2">
        <v>69</v>
      </c>
      <c r="D40" s="5"/>
      <c r="E40" s="6"/>
      <c r="F40" s="6"/>
      <c r="G40" s="6"/>
      <c r="H40" s="2">
        <v>104</v>
      </c>
      <c r="I40" s="2">
        <v>164</v>
      </c>
      <c r="J40" s="2">
        <v>62</v>
      </c>
      <c r="L40" s="6"/>
      <c r="M40" s="6"/>
      <c r="N40" s="2">
        <v>130</v>
      </c>
      <c r="O40" s="2">
        <v>168</v>
      </c>
      <c r="P40" s="2">
        <v>60</v>
      </c>
      <c r="R40" s="6"/>
    </row>
    <row r="41" spans="1:18" x14ac:dyDescent="0.3">
      <c r="A41" s="2">
        <v>40</v>
      </c>
      <c r="B41" s="2">
        <v>161</v>
      </c>
      <c r="C41" s="2">
        <v>62</v>
      </c>
      <c r="D41" s="5"/>
      <c r="E41" s="6"/>
      <c r="F41" s="6"/>
      <c r="G41" s="6"/>
      <c r="H41" s="2">
        <v>126</v>
      </c>
      <c r="I41" s="2">
        <v>164</v>
      </c>
      <c r="J41" s="2">
        <v>65</v>
      </c>
      <c r="L41" s="6"/>
      <c r="M41" s="6"/>
      <c r="N41" s="2">
        <v>135</v>
      </c>
      <c r="O41" s="2">
        <v>165</v>
      </c>
      <c r="P41" s="2">
        <v>60</v>
      </c>
      <c r="R41" s="6"/>
    </row>
    <row r="42" spans="1:18" x14ac:dyDescent="0.3">
      <c r="A42" s="2">
        <v>41</v>
      </c>
      <c r="B42" s="2">
        <v>172</v>
      </c>
      <c r="C42" s="2">
        <v>63</v>
      </c>
      <c r="D42" s="5"/>
      <c r="E42" s="6"/>
      <c r="F42" s="6"/>
      <c r="G42" s="6"/>
      <c r="H42" s="2">
        <v>161</v>
      </c>
      <c r="I42" s="2">
        <v>164</v>
      </c>
      <c r="J42" s="2">
        <v>61</v>
      </c>
      <c r="L42" s="6"/>
      <c r="M42" s="6"/>
      <c r="N42" s="2">
        <v>138</v>
      </c>
      <c r="O42" s="2">
        <v>167</v>
      </c>
      <c r="P42" s="2">
        <v>60</v>
      </c>
      <c r="R42" s="6"/>
    </row>
    <row r="43" spans="1:18" x14ac:dyDescent="0.3">
      <c r="A43" s="2">
        <v>42</v>
      </c>
      <c r="B43" s="2">
        <v>171</v>
      </c>
      <c r="C43" s="2">
        <v>69</v>
      </c>
      <c r="D43" s="5"/>
      <c r="E43" s="6"/>
      <c r="F43" s="6"/>
      <c r="G43" s="6"/>
      <c r="H43" s="2">
        <v>188</v>
      </c>
      <c r="I43" s="2">
        <v>164</v>
      </c>
      <c r="J43" s="2">
        <v>62</v>
      </c>
      <c r="L43" s="6"/>
      <c r="M43" s="6"/>
      <c r="N43" s="2">
        <v>151</v>
      </c>
      <c r="O43" s="2">
        <v>165</v>
      </c>
      <c r="P43" s="2">
        <v>60</v>
      </c>
      <c r="R43" s="6"/>
    </row>
    <row r="44" spans="1:18" x14ac:dyDescent="0.3">
      <c r="A44" s="2">
        <v>43</v>
      </c>
      <c r="B44" s="2">
        <v>173</v>
      </c>
      <c r="C44" s="2">
        <v>68</v>
      </c>
      <c r="D44" s="5"/>
      <c r="E44" s="6"/>
      <c r="F44" s="6"/>
      <c r="G44" s="6"/>
      <c r="H44" s="2">
        <v>5</v>
      </c>
      <c r="I44" s="2">
        <v>165</v>
      </c>
      <c r="J44" s="2">
        <v>59</v>
      </c>
      <c r="L44" s="6"/>
      <c r="M44" s="6"/>
      <c r="N44" s="2">
        <v>158</v>
      </c>
      <c r="O44" s="2">
        <v>163</v>
      </c>
      <c r="P44" s="2">
        <v>60</v>
      </c>
      <c r="R44" s="6"/>
    </row>
    <row r="45" spans="1:18" x14ac:dyDescent="0.3">
      <c r="A45" s="2">
        <v>44</v>
      </c>
      <c r="B45" s="2">
        <v>176</v>
      </c>
      <c r="C45" s="2">
        <v>70</v>
      </c>
      <c r="D45" s="5"/>
      <c r="E45" s="6"/>
      <c r="F45" s="6"/>
      <c r="G45" s="6"/>
      <c r="H45" s="2">
        <v>13</v>
      </c>
      <c r="I45" s="2">
        <v>165</v>
      </c>
      <c r="J45" s="2">
        <v>63</v>
      </c>
      <c r="L45" s="6"/>
      <c r="M45" s="6"/>
      <c r="N45" s="2">
        <v>31</v>
      </c>
      <c r="O45" s="2">
        <v>170</v>
      </c>
      <c r="P45" s="2">
        <v>61</v>
      </c>
      <c r="R45" s="6"/>
    </row>
    <row r="46" spans="1:18" x14ac:dyDescent="0.3">
      <c r="A46" s="2">
        <v>45</v>
      </c>
      <c r="B46" s="2">
        <v>156</v>
      </c>
      <c r="C46" s="2">
        <v>54</v>
      </c>
      <c r="D46" s="5"/>
      <c r="E46" s="6"/>
      <c r="F46" s="6"/>
      <c r="G46" s="6"/>
      <c r="H46" s="2">
        <v>15</v>
      </c>
      <c r="I46" s="2">
        <v>165</v>
      </c>
      <c r="J46" s="2">
        <v>56</v>
      </c>
      <c r="L46" s="6"/>
      <c r="M46" s="6"/>
      <c r="N46" s="2">
        <v>51</v>
      </c>
      <c r="O46" s="2">
        <v>160</v>
      </c>
      <c r="P46" s="2">
        <v>61</v>
      </c>
      <c r="R46" s="6"/>
    </row>
    <row r="47" spans="1:18" x14ac:dyDescent="0.3">
      <c r="A47" s="2">
        <v>46</v>
      </c>
      <c r="B47" s="2">
        <v>161</v>
      </c>
      <c r="C47" s="2">
        <v>59</v>
      </c>
      <c r="D47" s="5"/>
      <c r="E47" s="6"/>
      <c r="F47" s="6"/>
      <c r="G47" s="6"/>
      <c r="H47" s="2">
        <v>20</v>
      </c>
      <c r="I47" s="2">
        <v>165</v>
      </c>
      <c r="J47" s="2">
        <v>63</v>
      </c>
      <c r="L47" s="6"/>
      <c r="M47" s="6"/>
      <c r="N47" s="2">
        <v>61</v>
      </c>
      <c r="O47" s="2">
        <v>170</v>
      </c>
      <c r="P47" s="2">
        <v>61</v>
      </c>
      <c r="R47" s="6"/>
    </row>
    <row r="48" spans="1:18" x14ac:dyDescent="0.3">
      <c r="A48" s="2">
        <v>47</v>
      </c>
      <c r="B48" s="2">
        <v>165</v>
      </c>
      <c r="C48" s="2">
        <v>63</v>
      </c>
      <c r="D48" s="5"/>
      <c r="E48" s="6"/>
      <c r="F48" s="6"/>
      <c r="G48" s="6"/>
      <c r="H48" s="2">
        <v>47</v>
      </c>
      <c r="I48" s="2">
        <v>165</v>
      </c>
      <c r="J48" s="2">
        <v>63</v>
      </c>
      <c r="L48" s="6"/>
      <c r="M48" s="6"/>
      <c r="N48" s="2">
        <v>78</v>
      </c>
      <c r="O48" s="2">
        <v>165</v>
      </c>
      <c r="P48" s="2">
        <v>61</v>
      </c>
      <c r="R48" s="6"/>
    </row>
    <row r="49" spans="1:18" x14ac:dyDescent="0.3">
      <c r="A49" s="2">
        <v>48</v>
      </c>
      <c r="B49" s="2">
        <v>174</v>
      </c>
      <c r="C49" s="2">
        <v>66</v>
      </c>
      <c r="D49" s="5"/>
      <c r="E49" s="6"/>
      <c r="F49" s="6"/>
      <c r="G49" s="6"/>
      <c r="H49" s="2">
        <v>59</v>
      </c>
      <c r="I49" s="2">
        <v>165</v>
      </c>
      <c r="J49" s="2">
        <v>57</v>
      </c>
      <c r="L49" s="6"/>
      <c r="M49" s="6"/>
      <c r="N49" s="2">
        <v>143</v>
      </c>
      <c r="O49" s="2">
        <v>170</v>
      </c>
      <c r="P49" s="2">
        <v>61</v>
      </c>
      <c r="R49" s="6"/>
    </row>
    <row r="50" spans="1:18" x14ac:dyDescent="0.3">
      <c r="A50" s="2">
        <v>49</v>
      </c>
      <c r="B50" s="2">
        <v>183</v>
      </c>
      <c r="C50" s="2">
        <v>73</v>
      </c>
      <c r="D50" s="5"/>
      <c r="E50" s="6"/>
      <c r="F50" s="6"/>
      <c r="G50" s="6"/>
      <c r="H50" s="2">
        <v>60</v>
      </c>
      <c r="I50" s="2">
        <v>165</v>
      </c>
      <c r="J50" s="2">
        <v>60</v>
      </c>
      <c r="L50" s="6"/>
      <c r="M50" s="6"/>
      <c r="N50" s="2">
        <v>161</v>
      </c>
      <c r="O50" s="2">
        <v>164</v>
      </c>
      <c r="P50" s="2">
        <v>61</v>
      </c>
      <c r="R50" s="6"/>
    </row>
    <row r="51" spans="1:18" x14ac:dyDescent="0.3">
      <c r="A51" s="2">
        <v>50</v>
      </c>
      <c r="B51" s="2">
        <v>173</v>
      </c>
      <c r="C51" s="2">
        <v>71</v>
      </c>
      <c r="D51" s="5"/>
      <c r="E51" s="6"/>
      <c r="F51" s="6"/>
      <c r="G51" s="6"/>
      <c r="H51" s="2">
        <v>63</v>
      </c>
      <c r="I51" s="2">
        <v>165</v>
      </c>
      <c r="J51" s="2">
        <v>63</v>
      </c>
      <c r="L51" s="6"/>
      <c r="M51" s="6"/>
      <c r="N51" s="2">
        <v>166</v>
      </c>
      <c r="O51" s="2">
        <v>166</v>
      </c>
      <c r="P51" s="2">
        <v>61</v>
      </c>
      <c r="R51" s="6"/>
    </row>
    <row r="52" spans="1:18" x14ac:dyDescent="0.3">
      <c r="A52" s="2">
        <v>51</v>
      </c>
      <c r="B52" s="2">
        <v>160</v>
      </c>
      <c r="C52" s="2">
        <v>61</v>
      </c>
      <c r="H52" s="2">
        <v>66</v>
      </c>
      <c r="I52" s="2">
        <v>165</v>
      </c>
      <c r="J52" s="2">
        <v>63</v>
      </c>
      <c r="L52" s="6"/>
      <c r="M52" s="6"/>
      <c r="N52" s="2">
        <v>171</v>
      </c>
      <c r="O52" s="2">
        <v>169</v>
      </c>
      <c r="P52" s="2">
        <v>61</v>
      </c>
      <c r="R52" s="6"/>
    </row>
    <row r="53" spans="1:18" x14ac:dyDescent="0.3">
      <c r="A53" s="2">
        <v>52</v>
      </c>
      <c r="B53" s="2">
        <v>178</v>
      </c>
      <c r="C53" s="2">
        <v>69</v>
      </c>
      <c r="H53" s="2">
        <v>70</v>
      </c>
      <c r="I53" s="2">
        <v>165</v>
      </c>
      <c r="J53" s="2">
        <v>63</v>
      </c>
      <c r="L53" s="6"/>
      <c r="M53" s="6"/>
      <c r="N53" s="2">
        <v>176</v>
      </c>
      <c r="O53" s="2">
        <v>170</v>
      </c>
      <c r="P53" s="2">
        <v>61</v>
      </c>
      <c r="R53" s="6"/>
    </row>
    <row r="54" spans="1:18" x14ac:dyDescent="0.3">
      <c r="A54" s="2">
        <v>53</v>
      </c>
      <c r="B54" s="2">
        <v>170</v>
      </c>
      <c r="C54" s="2">
        <v>70</v>
      </c>
      <c r="H54" s="2">
        <v>78</v>
      </c>
      <c r="I54" s="2">
        <v>165</v>
      </c>
      <c r="J54" s="2">
        <v>61</v>
      </c>
      <c r="L54" s="6"/>
      <c r="M54" s="6"/>
      <c r="N54" s="2">
        <v>6</v>
      </c>
      <c r="O54" s="2">
        <v>168</v>
      </c>
      <c r="P54" s="2">
        <v>62</v>
      </c>
      <c r="R54" s="6"/>
    </row>
    <row r="55" spans="1:18" x14ac:dyDescent="0.3">
      <c r="A55" s="2">
        <v>54</v>
      </c>
      <c r="B55" s="2">
        <v>168</v>
      </c>
      <c r="C55" s="2">
        <v>60</v>
      </c>
      <c r="H55" s="2">
        <v>93</v>
      </c>
      <c r="I55" s="2">
        <v>165</v>
      </c>
      <c r="J55" s="2">
        <v>63</v>
      </c>
      <c r="L55" s="6"/>
      <c r="M55" s="6"/>
      <c r="N55" s="2">
        <v>17</v>
      </c>
      <c r="O55" s="2">
        <v>166</v>
      </c>
      <c r="P55" s="2">
        <v>62</v>
      </c>
      <c r="R55" s="6"/>
    </row>
    <row r="56" spans="1:18" x14ac:dyDescent="0.3">
      <c r="A56" s="2">
        <v>55</v>
      </c>
      <c r="B56" s="2">
        <v>173</v>
      </c>
      <c r="C56" s="2">
        <v>69</v>
      </c>
      <c r="H56" s="2">
        <v>117</v>
      </c>
      <c r="I56" s="2">
        <v>165</v>
      </c>
      <c r="J56" s="2">
        <v>57</v>
      </c>
      <c r="L56" s="6"/>
      <c r="M56" s="6"/>
      <c r="N56" s="2">
        <v>40</v>
      </c>
      <c r="O56" s="2">
        <v>161</v>
      </c>
      <c r="P56" s="2">
        <v>62</v>
      </c>
      <c r="R56" s="6"/>
    </row>
    <row r="57" spans="1:18" x14ac:dyDescent="0.3">
      <c r="A57" s="2">
        <v>56</v>
      </c>
      <c r="B57" s="2">
        <v>176</v>
      </c>
      <c r="C57" s="2">
        <v>70</v>
      </c>
      <c r="H57" s="2">
        <v>135</v>
      </c>
      <c r="I57" s="2">
        <v>165</v>
      </c>
      <c r="J57" s="2">
        <v>60</v>
      </c>
      <c r="L57" s="6"/>
      <c r="M57" s="6"/>
      <c r="N57" s="2">
        <v>75</v>
      </c>
      <c r="O57" s="2">
        <v>176</v>
      </c>
      <c r="P57" s="2">
        <v>62</v>
      </c>
      <c r="R57" s="6"/>
    </row>
    <row r="58" spans="1:18" x14ac:dyDescent="0.3">
      <c r="A58" s="2">
        <v>57</v>
      </c>
      <c r="B58" s="2">
        <v>170</v>
      </c>
      <c r="C58" s="2">
        <v>58</v>
      </c>
      <c r="H58" s="2">
        <v>151</v>
      </c>
      <c r="I58" s="2">
        <v>165</v>
      </c>
      <c r="J58" s="2">
        <v>60</v>
      </c>
      <c r="L58" s="6"/>
      <c r="M58" s="6"/>
      <c r="N58" s="2">
        <v>88</v>
      </c>
      <c r="O58" s="2">
        <v>160</v>
      </c>
      <c r="P58" s="2">
        <v>62</v>
      </c>
      <c r="R58" s="6"/>
    </row>
    <row r="59" spans="1:18" x14ac:dyDescent="0.3">
      <c r="A59" s="2">
        <v>58</v>
      </c>
      <c r="B59" s="2">
        <v>163</v>
      </c>
      <c r="C59" s="2">
        <v>64</v>
      </c>
      <c r="H59" s="2">
        <v>193</v>
      </c>
      <c r="I59" s="2">
        <v>165</v>
      </c>
      <c r="J59" s="2">
        <v>63</v>
      </c>
      <c r="L59" s="6"/>
      <c r="M59" s="6"/>
      <c r="N59" s="2">
        <v>104</v>
      </c>
      <c r="O59" s="2">
        <v>164</v>
      </c>
      <c r="P59" s="2">
        <v>62</v>
      </c>
      <c r="R59" s="6"/>
    </row>
    <row r="60" spans="1:18" x14ac:dyDescent="0.3">
      <c r="A60" s="2">
        <v>59</v>
      </c>
      <c r="B60" s="2">
        <v>165</v>
      </c>
      <c r="C60" s="2">
        <v>57</v>
      </c>
      <c r="H60" s="2">
        <v>3</v>
      </c>
      <c r="I60" s="2">
        <v>166</v>
      </c>
      <c r="J60" s="2">
        <v>57</v>
      </c>
      <c r="L60" s="6"/>
      <c r="M60" s="6"/>
      <c r="N60" s="2">
        <v>142</v>
      </c>
      <c r="O60" s="2">
        <v>166</v>
      </c>
      <c r="P60" s="2">
        <v>62</v>
      </c>
      <c r="R60" s="6"/>
    </row>
    <row r="61" spans="1:18" x14ac:dyDescent="0.3">
      <c r="A61" s="2">
        <v>60</v>
      </c>
      <c r="B61" s="2">
        <v>165</v>
      </c>
      <c r="C61" s="2">
        <v>60</v>
      </c>
      <c r="H61" s="2">
        <v>17</v>
      </c>
      <c r="I61" s="2">
        <v>166</v>
      </c>
      <c r="J61" s="2">
        <v>62</v>
      </c>
      <c r="L61" s="6"/>
      <c r="M61" s="6"/>
      <c r="N61" s="2">
        <v>188</v>
      </c>
      <c r="O61" s="2">
        <v>164</v>
      </c>
      <c r="P61" s="2">
        <v>62</v>
      </c>
      <c r="R61" s="6"/>
    </row>
    <row r="62" spans="1:18" x14ac:dyDescent="0.3">
      <c r="A62" s="2">
        <v>61</v>
      </c>
      <c r="B62" s="2">
        <v>170</v>
      </c>
      <c r="C62" s="2">
        <v>61</v>
      </c>
      <c r="H62" s="2">
        <v>30</v>
      </c>
      <c r="I62" s="2">
        <v>166</v>
      </c>
      <c r="J62" s="2">
        <v>67</v>
      </c>
      <c r="L62" s="6"/>
      <c r="M62" s="6"/>
      <c r="N62" s="2">
        <v>13</v>
      </c>
      <c r="O62" s="2">
        <v>165</v>
      </c>
      <c r="P62" s="2">
        <v>63</v>
      </c>
      <c r="R62" s="6"/>
    </row>
    <row r="63" spans="1:18" x14ac:dyDescent="0.3">
      <c r="A63" s="2">
        <v>62</v>
      </c>
      <c r="B63" s="2">
        <v>166</v>
      </c>
      <c r="C63" s="2">
        <v>55</v>
      </c>
      <c r="H63" s="2">
        <v>62</v>
      </c>
      <c r="I63" s="2">
        <v>166</v>
      </c>
      <c r="J63" s="2">
        <v>55</v>
      </c>
      <c r="L63" s="6"/>
      <c r="M63" s="6"/>
      <c r="N63" s="2">
        <v>19</v>
      </c>
      <c r="O63" s="2">
        <v>167</v>
      </c>
      <c r="P63" s="2">
        <v>63</v>
      </c>
      <c r="R63" s="6"/>
    </row>
    <row r="64" spans="1:18" x14ac:dyDescent="0.3">
      <c r="A64" s="2">
        <v>63</v>
      </c>
      <c r="B64" s="2">
        <v>165</v>
      </c>
      <c r="C64" s="2">
        <v>63</v>
      </c>
      <c r="H64" s="2">
        <v>142</v>
      </c>
      <c r="I64" s="2">
        <v>166</v>
      </c>
      <c r="J64" s="2">
        <v>62</v>
      </c>
      <c r="L64" s="6"/>
      <c r="M64" s="6"/>
      <c r="N64" s="2">
        <v>20</v>
      </c>
      <c r="O64" s="2">
        <v>165</v>
      </c>
      <c r="P64" s="2">
        <v>63</v>
      </c>
      <c r="R64" s="6"/>
    </row>
    <row r="65" spans="1:18" x14ac:dyDescent="0.3">
      <c r="A65" s="2">
        <v>64</v>
      </c>
      <c r="B65" s="2">
        <v>181</v>
      </c>
      <c r="C65" s="2">
        <v>77</v>
      </c>
      <c r="H65" s="2">
        <v>145</v>
      </c>
      <c r="I65" s="2">
        <v>166</v>
      </c>
      <c r="J65" s="2">
        <v>67</v>
      </c>
      <c r="L65" s="6"/>
      <c r="M65" s="6"/>
      <c r="N65" s="2">
        <v>27</v>
      </c>
      <c r="O65" s="2">
        <v>171</v>
      </c>
      <c r="P65" s="2">
        <v>63</v>
      </c>
      <c r="R65" s="6"/>
    </row>
    <row r="66" spans="1:18" x14ac:dyDescent="0.3">
      <c r="A66" s="2">
        <v>65</v>
      </c>
      <c r="B66" s="2">
        <v>172</v>
      </c>
      <c r="C66" s="2">
        <v>64</v>
      </c>
      <c r="H66" s="2">
        <v>166</v>
      </c>
      <c r="I66" s="2">
        <v>166</v>
      </c>
      <c r="J66" s="2">
        <v>61</v>
      </c>
      <c r="L66" s="6"/>
      <c r="M66" s="6"/>
      <c r="N66" s="2">
        <v>29</v>
      </c>
      <c r="O66" s="2">
        <v>173</v>
      </c>
      <c r="P66" s="2">
        <v>63</v>
      </c>
      <c r="R66" s="6"/>
    </row>
    <row r="67" spans="1:18" x14ac:dyDescent="0.3">
      <c r="A67" s="2">
        <v>66</v>
      </c>
      <c r="B67" s="2">
        <v>165</v>
      </c>
      <c r="C67" s="2">
        <v>63</v>
      </c>
      <c r="H67" s="2">
        <v>182</v>
      </c>
      <c r="I67" s="2">
        <v>166</v>
      </c>
      <c r="J67" s="2">
        <v>63</v>
      </c>
      <c r="L67" s="6"/>
      <c r="M67" s="6"/>
      <c r="N67" s="2">
        <v>41</v>
      </c>
      <c r="O67" s="2">
        <v>172</v>
      </c>
      <c r="P67" s="2">
        <v>63</v>
      </c>
      <c r="R67" s="6"/>
    </row>
    <row r="68" spans="1:18" x14ac:dyDescent="0.3">
      <c r="A68" s="2">
        <v>67</v>
      </c>
      <c r="B68" s="2">
        <v>172</v>
      </c>
      <c r="C68" s="2">
        <v>78</v>
      </c>
      <c r="H68" s="2">
        <v>185</v>
      </c>
      <c r="I68" s="2">
        <v>166</v>
      </c>
      <c r="J68" s="2">
        <v>78</v>
      </c>
      <c r="L68" s="6"/>
      <c r="M68" s="6"/>
      <c r="N68" s="2">
        <v>47</v>
      </c>
      <c r="O68" s="2">
        <v>165</v>
      </c>
      <c r="P68" s="2">
        <v>63</v>
      </c>
      <c r="R68" s="6"/>
    </row>
    <row r="69" spans="1:18" x14ac:dyDescent="0.3">
      <c r="A69" s="2">
        <v>68</v>
      </c>
      <c r="B69" s="2">
        <v>178</v>
      </c>
      <c r="C69" s="2">
        <v>75</v>
      </c>
      <c r="H69" s="2">
        <v>18</v>
      </c>
      <c r="I69" s="2">
        <v>167</v>
      </c>
      <c r="J69" s="2">
        <v>65</v>
      </c>
      <c r="L69" s="6"/>
      <c r="M69" s="6"/>
      <c r="N69" s="2">
        <v>63</v>
      </c>
      <c r="O69" s="2">
        <v>165</v>
      </c>
      <c r="P69" s="2">
        <v>63</v>
      </c>
      <c r="R69" s="6"/>
    </row>
    <row r="70" spans="1:18" x14ac:dyDescent="0.3">
      <c r="A70" s="2">
        <v>69</v>
      </c>
      <c r="B70" s="2">
        <v>169</v>
      </c>
      <c r="C70" s="2">
        <v>74</v>
      </c>
      <c r="H70" s="2">
        <v>19</v>
      </c>
      <c r="I70" s="2">
        <v>167</v>
      </c>
      <c r="J70" s="2">
        <v>63</v>
      </c>
      <c r="L70" s="6"/>
      <c r="M70" s="6"/>
      <c r="N70" s="2">
        <v>66</v>
      </c>
      <c r="O70" s="2">
        <v>165</v>
      </c>
      <c r="P70" s="2">
        <v>63</v>
      </c>
      <c r="R70" s="6"/>
    </row>
    <row r="71" spans="1:18" x14ac:dyDescent="0.3">
      <c r="A71" s="2">
        <v>70</v>
      </c>
      <c r="B71" s="2">
        <v>165</v>
      </c>
      <c r="C71" s="2">
        <v>63</v>
      </c>
      <c r="H71" s="2">
        <v>38</v>
      </c>
      <c r="I71" s="2">
        <v>167</v>
      </c>
      <c r="J71" s="2">
        <v>64</v>
      </c>
      <c r="L71" s="6"/>
      <c r="M71" s="6"/>
      <c r="N71" s="2">
        <v>70</v>
      </c>
      <c r="O71" s="2">
        <v>165</v>
      </c>
      <c r="P71" s="2">
        <v>63</v>
      </c>
      <c r="R71" s="6"/>
    </row>
    <row r="72" spans="1:18" x14ac:dyDescent="0.3">
      <c r="A72" s="2">
        <v>71</v>
      </c>
      <c r="B72" s="2">
        <v>174</v>
      </c>
      <c r="C72" s="2">
        <v>75</v>
      </c>
      <c r="H72" s="2">
        <v>86</v>
      </c>
      <c r="I72" s="2">
        <v>167</v>
      </c>
      <c r="J72" s="2">
        <v>63</v>
      </c>
      <c r="L72" s="6"/>
      <c r="M72" s="6"/>
      <c r="N72" s="2">
        <v>86</v>
      </c>
      <c r="O72" s="2">
        <v>167</v>
      </c>
      <c r="P72" s="2">
        <v>63</v>
      </c>
      <c r="R72" s="6"/>
    </row>
    <row r="73" spans="1:18" x14ac:dyDescent="0.3">
      <c r="A73" s="2">
        <v>72</v>
      </c>
      <c r="B73" s="2">
        <v>159</v>
      </c>
      <c r="C73" s="2">
        <v>54</v>
      </c>
      <c r="H73" s="2">
        <v>119</v>
      </c>
      <c r="I73" s="2">
        <v>167</v>
      </c>
      <c r="J73" s="2">
        <v>68</v>
      </c>
      <c r="L73" s="6"/>
      <c r="M73" s="6"/>
      <c r="N73" s="2">
        <v>93</v>
      </c>
      <c r="O73" s="2">
        <v>165</v>
      </c>
      <c r="P73" s="2">
        <v>63</v>
      </c>
      <c r="R73" s="6"/>
    </row>
    <row r="74" spans="1:18" x14ac:dyDescent="0.3">
      <c r="A74" s="2">
        <v>73</v>
      </c>
      <c r="B74" s="2">
        <v>171</v>
      </c>
      <c r="C74" s="2">
        <v>66</v>
      </c>
      <c r="H74" s="2">
        <v>123</v>
      </c>
      <c r="I74" s="2">
        <v>167</v>
      </c>
      <c r="J74" s="2">
        <v>65</v>
      </c>
      <c r="L74" s="6"/>
      <c r="M74" s="6"/>
      <c r="N74" s="2">
        <v>111</v>
      </c>
      <c r="O74" s="2">
        <v>171</v>
      </c>
      <c r="P74" s="2">
        <v>63</v>
      </c>
      <c r="R74" s="6"/>
    </row>
    <row r="75" spans="1:18" x14ac:dyDescent="0.3">
      <c r="A75" s="2">
        <v>74</v>
      </c>
      <c r="B75" s="2">
        <v>169</v>
      </c>
      <c r="C75" s="2">
        <v>67</v>
      </c>
      <c r="H75" s="2">
        <v>138</v>
      </c>
      <c r="I75" s="2">
        <v>167</v>
      </c>
      <c r="J75" s="2">
        <v>60</v>
      </c>
      <c r="L75" s="6"/>
      <c r="M75" s="6"/>
      <c r="N75" s="2">
        <v>152</v>
      </c>
      <c r="O75" s="2">
        <v>163</v>
      </c>
      <c r="P75" s="2">
        <v>63</v>
      </c>
      <c r="R75" s="6"/>
    </row>
    <row r="76" spans="1:18" x14ac:dyDescent="0.3">
      <c r="A76" s="2">
        <v>75</v>
      </c>
      <c r="B76" s="2">
        <v>176</v>
      </c>
      <c r="C76" s="2">
        <v>62</v>
      </c>
      <c r="H76" s="2">
        <v>178</v>
      </c>
      <c r="I76" s="2">
        <v>167</v>
      </c>
      <c r="J76" s="2">
        <v>55</v>
      </c>
      <c r="L76" s="6"/>
      <c r="M76" s="6"/>
      <c r="N76" s="2">
        <v>172</v>
      </c>
      <c r="O76" s="2">
        <v>172</v>
      </c>
      <c r="P76" s="2">
        <v>63</v>
      </c>
      <c r="R76" s="6"/>
    </row>
    <row r="77" spans="1:18" x14ac:dyDescent="0.3">
      <c r="A77" s="2">
        <v>76</v>
      </c>
      <c r="B77" s="2">
        <v>170</v>
      </c>
      <c r="C77" s="2">
        <v>65</v>
      </c>
      <c r="H77" s="2">
        <v>190</v>
      </c>
      <c r="I77" s="2">
        <v>167</v>
      </c>
      <c r="J77" s="2">
        <v>67</v>
      </c>
      <c r="L77" s="6"/>
      <c r="M77" s="6"/>
      <c r="N77" s="2">
        <v>181</v>
      </c>
      <c r="O77" s="2">
        <v>170</v>
      </c>
      <c r="P77" s="2">
        <v>63</v>
      </c>
      <c r="R77" s="6"/>
    </row>
    <row r="78" spans="1:18" x14ac:dyDescent="0.3">
      <c r="A78" s="2">
        <v>77</v>
      </c>
      <c r="B78" s="2">
        <v>170</v>
      </c>
      <c r="C78" s="2">
        <v>66</v>
      </c>
      <c r="H78" s="2">
        <v>200</v>
      </c>
      <c r="I78" s="2">
        <v>167</v>
      </c>
      <c r="J78" s="2">
        <v>63</v>
      </c>
      <c r="L78" s="6"/>
      <c r="M78" s="6"/>
      <c r="N78" s="2">
        <v>182</v>
      </c>
      <c r="O78" s="2">
        <v>166</v>
      </c>
      <c r="P78" s="2">
        <v>63</v>
      </c>
      <c r="R78" s="6"/>
    </row>
    <row r="79" spans="1:18" x14ac:dyDescent="0.3">
      <c r="A79" s="2">
        <v>78</v>
      </c>
      <c r="B79" s="2">
        <v>165</v>
      </c>
      <c r="C79" s="2">
        <v>61</v>
      </c>
      <c r="H79" s="2">
        <v>6</v>
      </c>
      <c r="I79" s="2">
        <v>168</v>
      </c>
      <c r="J79" s="2">
        <v>62</v>
      </c>
      <c r="L79" s="6"/>
      <c r="M79" s="6"/>
      <c r="N79" s="2">
        <v>193</v>
      </c>
      <c r="O79" s="2">
        <v>165</v>
      </c>
      <c r="P79" s="2">
        <v>63</v>
      </c>
      <c r="R79" s="6"/>
    </row>
    <row r="80" spans="1:18" x14ac:dyDescent="0.3">
      <c r="A80" s="2">
        <v>79</v>
      </c>
      <c r="B80" s="2">
        <v>162</v>
      </c>
      <c r="C80" s="2">
        <v>66</v>
      </c>
      <c r="H80" s="2">
        <v>10</v>
      </c>
      <c r="I80" s="2">
        <v>168</v>
      </c>
      <c r="J80" s="2">
        <v>67</v>
      </c>
      <c r="L80" s="6"/>
      <c r="M80" s="6"/>
      <c r="N80" s="2">
        <v>200</v>
      </c>
      <c r="O80" s="2">
        <v>167</v>
      </c>
      <c r="P80" s="2">
        <v>63</v>
      </c>
      <c r="R80" s="6"/>
    </row>
    <row r="81" spans="1:18" x14ac:dyDescent="0.3">
      <c r="A81" s="2">
        <v>80</v>
      </c>
      <c r="B81" s="2">
        <v>175</v>
      </c>
      <c r="C81" s="2">
        <v>75</v>
      </c>
      <c r="H81" s="2">
        <v>21</v>
      </c>
      <c r="I81" s="2">
        <v>168</v>
      </c>
      <c r="J81" s="2">
        <v>73</v>
      </c>
      <c r="L81" s="6"/>
      <c r="M81" s="6"/>
      <c r="N81" s="2">
        <v>38</v>
      </c>
      <c r="O81" s="2">
        <v>167</v>
      </c>
      <c r="P81" s="2">
        <v>64</v>
      </c>
      <c r="R81" s="6"/>
    </row>
    <row r="82" spans="1:18" x14ac:dyDescent="0.3">
      <c r="A82" s="2">
        <v>81</v>
      </c>
      <c r="B82" s="2">
        <v>157</v>
      </c>
      <c r="C82" s="2">
        <v>53</v>
      </c>
      <c r="H82" s="2">
        <v>24</v>
      </c>
      <c r="I82" s="2">
        <v>168</v>
      </c>
      <c r="J82" s="2">
        <v>66</v>
      </c>
      <c r="L82" s="6"/>
      <c r="M82" s="6"/>
      <c r="N82" s="2">
        <v>58</v>
      </c>
      <c r="O82" s="2">
        <v>163</v>
      </c>
      <c r="P82" s="2">
        <v>64</v>
      </c>
      <c r="R82" s="6"/>
    </row>
    <row r="83" spans="1:18" x14ac:dyDescent="0.3">
      <c r="A83" s="2">
        <v>82</v>
      </c>
      <c r="B83" s="2">
        <v>161</v>
      </c>
      <c r="C83" s="2">
        <v>55</v>
      </c>
      <c r="H83" s="2">
        <v>54</v>
      </c>
      <c r="I83" s="2">
        <v>168</v>
      </c>
      <c r="J83" s="2">
        <v>60</v>
      </c>
      <c r="L83" s="6"/>
      <c r="M83" s="6"/>
      <c r="N83" s="2">
        <v>65</v>
      </c>
      <c r="O83" s="2">
        <v>172</v>
      </c>
      <c r="P83" s="2">
        <v>64</v>
      </c>
      <c r="R83" s="6"/>
    </row>
    <row r="84" spans="1:18" x14ac:dyDescent="0.3">
      <c r="A84" s="2">
        <v>83</v>
      </c>
      <c r="B84" s="2">
        <v>172</v>
      </c>
      <c r="C84" s="2">
        <v>66</v>
      </c>
      <c r="H84" s="2">
        <v>94</v>
      </c>
      <c r="I84" s="2">
        <v>168</v>
      </c>
      <c r="J84" s="2">
        <v>67</v>
      </c>
      <c r="L84" s="6"/>
      <c r="M84" s="6"/>
      <c r="N84" s="2">
        <v>113</v>
      </c>
      <c r="O84" s="2">
        <v>168</v>
      </c>
      <c r="P84" s="2">
        <v>64</v>
      </c>
      <c r="R84" s="6"/>
    </row>
    <row r="85" spans="1:18" x14ac:dyDescent="0.3">
      <c r="A85" s="2">
        <v>84</v>
      </c>
      <c r="B85" s="2">
        <v>159</v>
      </c>
      <c r="C85" s="2">
        <v>55</v>
      </c>
      <c r="H85" s="2">
        <v>109</v>
      </c>
      <c r="I85" s="2">
        <v>168</v>
      </c>
      <c r="J85" s="2">
        <v>55</v>
      </c>
      <c r="L85" s="6"/>
      <c r="M85" s="6"/>
      <c r="N85" s="2">
        <v>184</v>
      </c>
      <c r="O85" s="2">
        <v>171</v>
      </c>
      <c r="P85" s="2">
        <v>64</v>
      </c>
      <c r="R85" s="6"/>
    </row>
    <row r="86" spans="1:18" x14ac:dyDescent="0.3">
      <c r="A86" s="2">
        <v>85</v>
      </c>
      <c r="B86" s="2">
        <v>162</v>
      </c>
      <c r="C86" s="2">
        <v>65</v>
      </c>
      <c r="H86" s="2">
        <v>113</v>
      </c>
      <c r="I86" s="2">
        <v>168</v>
      </c>
      <c r="J86" s="2">
        <v>64</v>
      </c>
      <c r="L86" s="6"/>
      <c r="M86" s="6"/>
      <c r="N86" s="2">
        <v>1</v>
      </c>
      <c r="O86" s="2">
        <v>176</v>
      </c>
      <c r="P86" s="2">
        <v>65</v>
      </c>
      <c r="R86" s="6"/>
    </row>
    <row r="87" spans="1:18" x14ac:dyDescent="0.3">
      <c r="A87" s="2">
        <v>86</v>
      </c>
      <c r="B87" s="2">
        <v>167</v>
      </c>
      <c r="C87" s="2">
        <v>63</v>
      </c>
      <c r="H87" s="2">
        <v>128</v>
      </c>
      <c r="I87" s="2">
        <v>168</v>
      </c>
      <c r="J87" s="2">
        <v>58</v>
      </c>
      <c r="L87" s="6"/>
      <c r="M87" s="6"/>
      <c r="N87" s="2">
        <v>18</v>
      </c>
      <c r="O87" s="2">
        <v>167</v>
      </c>
      <c r="P87" s="2">
        <v>65</v>
      </c>
      <c r="R87" s="6"/>
    </row>
    <row r="88" spans="1:18" x14ac:dyDescent="0.3">
      <c r="A88" s="2">
        <v>87</v>
      </c>
      <c r="B88" s="2">
        <v>159</v>
      </c>
      <c r="C88" s="2">
        <v>68</v>
      </c>
      <c r="H88" s="2">
        <v>130</v>
      </c>
      <c r="I88" s="2">
        <v>168</v>
      </c>
      <c r="J88" s="2">
        <v>60</v>
      </c>
      <c r="L88" s="6"/>
      <c r="M88" s="6"/>
      <c r="N88" s="2">
        <v>23</v>
      </c>
      <c r="O88" s="2">
        <v>163</v>
      </c>
      <c r="P88" s="2">
        <v>65</v>
      </c>
      <c r="R88" s="6"/>
    </row>
    <row r="89" spans="1:18" x14ac:dyDescent="0.3">
      <c r="A89" s="2">
        <v>88</v>
      </c>
      <c r="B89" s="2">
        <v>160</v>
      </c>
      <c r="C89" s="2">
        <v>62</v>
      </c>
      <c r="H89" s="2">
        <v>132</v>
      </c>
      <c r="I89" s="2">
        <v>168</v>
      </c>
      <c r="J89" s="2">
        <v>67</v>
      </c>
      <c r="L89" s="6"/>
      <c r="M89" s="6"/>
      <c r="N89" s="2">
        <v>76</v>
      </c>
      <c r="O89" s="2">
        <v>170</v>
      </c>
      <c r="P89" s="2">
        <v>65</v>
      </c>
      <c r="R89" s="6"/>
    </row>
    <row r="90" spans="1:18" x14ac:dyDescent="0.3">
      <c r="A90" s="2">
        <v>89</v>
      </c>
      <c r="B90" s="2">
        <v>175</v>
      </c>
      <c r="C90" s="2">
        <v>75</v>
      </c>
      <c r="H90" s="2">
        <v>173</v>
      </c>
      <c r="I90" s="2">
        <v>168</v>
      </c>
      <c r="J90" s="2">
        <v>70</v>
      </c>
      <c r="L90" s="6"/>
      <c r="M90" s="6"/>
      <c r="N90" s="2">
        <v>85</v>
      </c>
      <c r="O90" s="2">
        <v>162</v>
      </c>
      <c r="P90" s="2">
        <v>65</v>
      </c>
      <c r="R90" s="6"/>
    </row>
    <row r="91" spans="1:18" x14ac:dyDescent="0.3">
      <c r="A91" s="2">
        <v>90</v>
      </c>
      <c r="B91" s="2">
        <v>163</v>
      </c>
      <c r="C91" s="2">
        <v>67</v>
      </c>
      <c r="H91" s="2">
        <v>191</v>
      </c>
      <c r="I91" s="2">
        <v>168</v>
      </c>
      <c r="J91" s="2">
        <v>67</v>
      </c>
      <c r="L91" s="6"/>
      <c r="M91" s="6"/>
      <c r="N91" s="2">
        <v>92</v>
      </c>
      <c r="O91" s="2">
        <v>180</v>
      </c>
      <c r="P91" s="2">
        <v>65</v>
      </c>
      <c r="R91" s="6"/>
    </row>
    <row r="92" spans="1:18" x14ac:dyDescent="0.3">
      <c r="A92" s="2">
        <v>91</v>
      </c>
      <c r="B92" s="2">
        <v>169</v>
      </c>
      <c r="C92" s="2">
        <v>56</v>
      </c>
      <c r="H92" s="2">
        <v>196</v>
      </c>
      <c r="I92" s="2">
        <v>168</v>
      </c>
      <c r="J92" s="2">
        <v>70</v>
      </c>
      <c r="L92" s="6"/>
      <c r="M92" s="6"/>
      <c r="N92" s="2">
        <v>112</v>
      </c>
      <c r="O92" s="2">
        <v>170</v>
      </c>
      <c r="P92" s="2">
        <v>65</v>
      </c>
      <c r="R92" s="6"/>
    </row>
    <row r="93" spans="1:18" x14ac:dyDescent="0.3">
      <c r="A93" s="2">
        <v>92</v>
      </c>
      <c r="B93" s="2">
        <v>180</v>
      </c>
      <c r="C93" s="2">
        <v>65</v>
      </c>
      <c r="H93" s="2">
        <v>69</v>
      </c>
      <c r="I93" s="2">
        <v>169</v>
      </c>
      <c r="J93" s="2">
        <v>74</v>
      </c>
      <c r="L93" s="6"/>
      <c r="M93" s="6"/>
      <c r="N93" s="2">
        <v>116</v>
      </c>
      <c r="O93" s="2">
        <v>180</v>
      </c>
      <c r="P93" s="2">
        <v>65</v>
      </c>
      <c r="R93" s="6"/>
    </row>
    <row r="94" spans="1:18" x14ac:dyDescent="0.3">
      <c r="A94" s="2">
        <v>93</v>
      </c>
      <c r="B94" s="2">
        <v>165</v>
      </c>
      <c r="C94" s="2">
        <v>63</v>
      </c>
      <c r="H94" s="2">
        <v>74</v>
      </c>
      <c r="I94" s="2">
        <v>169</v>
      </c>
      <c r="J94" s="2">
        <v>67</v>
      </c>
      <c r="L94" s="6"/>
      <c r="M94" s="6"/>
      <c r="N94" s="2">
        <v>123</v>
      </c>
      <c r="O94" s="2">
        <v>167</v>
      </c>
      <c r="P94" s="2">
        <v>65</v>
      </c>
      <c r="R94" s="6"/>
    </row>
    <row r="95" spans="1:18" x14ac:dyDescent="0.3">
      <c r="A95" s="2">
        <v>94</v>
      </c>
      <c r="B95" s="2">
        <v>168</v>
      </c>
      <c r="C95" s="2">
        <v>67</v>
      </c>
      <c r="H95" s="2">
        <v>91</v>
      </c>
      <c r="I95" s="2">
        <v>169</v>
      </c>
      <c r="J95" s="2">
        <v>56</v>
      </c>
      <c r="L95" s="6"/>
      <c r="M95" s="6"/>
      <c r="N95" s="2">
        <v>126</v>
      </c>
      <c r="O95" s="2">
        <v>164</v>
      </c>
      <c r="P95" s="2">
        <v>65</v>
      </c>
      <c r="R95" s="6"/>
    </row>
    <row r="96" spans="1:18" x14ac:dyDescent="0.3">
      <c r="A96" s="2">
        <v>95</v>
      </c>
      <c r="B96" s="2">
        <v>169</v>
      </c>
      <c r="C96" s="2">
        <v>68</v>
      </c>
      <c r="H96" s="2">
        <v>95</v>
      </c>
      <c r="I96" s="2">
        <v>169</v>
      </c>
      <c r="J96" s="2">
        <v>68</v>
      </c>
      <c r="L96" s="6"/>
      <c r="M96" s="6"/>
      <c r="N96" s="2">
        <v>133</v>
      </c>
      <c r="O96" s="2">
        <v>176</v>
      </c>
      <c r="P96" s="2">
        <v>65</v>
      </c>
      <c r="R96" s="6"/>
    </row>
    <row r="97" spans="1:18" x14ac:dyDescent="0.3">
      <c r="A97" s="2">
        <v>96</v>
      </c>
      <c r="B97" s="2">
        <v>170</v>
      </c>
      <c r="C97" s="2">
        <v>69</v>
      </c>
      <c r="H97" s="2">
        <v>147</v>
      </c>
      <c r="I97" s="2">
        <v>169</v>
      </c>
      <c r="J97" s="2">
        <v>67</v>
      </c>
      <c r="L97" s="6"/>
      <c r="M97" s="6"/>
      <c r="N97" s="2">
        <v>137</v>
      </c>
      <c r="O97" s="2">
        <v>163</v>
      </c>
      <c r="P97" s="2">
        <v>65</v>
      </c>
      <c r="R97" s="6"/>
    </row>
    <row r="98" spans="1:18" x14ac:dyDescent="0.3">
      <c r="A98" s="2">
        <v>97</v>
      </c>
      <c r="B98" s="2">
        <v>163</v>
      </c>
      <c r="C98" s="2">
        <v>57</v>
      </c>
      <c r="H98" s="2">
        <v>165</v>
      </c>
      <c r="I98" s="2">
        <v>169</v>
      </c>
      <c r="J98" s="2">
        <v>68</v>
      </c>
      <c r="L98" s="6"/>
      <c r="M98" s="6"/>
      <c r="N98" s="2">
        <v>175</v>
      </c>
      <c r="O98" s="2">
        <v>173</v>
      </c>
      <c r="P98" s="2">
        <v>65</v>
      </c>
      <c r="R98" s="6"/>
    </row>
    <row r="99" spans="1:18" x14ac:dyDescent="0.3">
      <c r="A99" s="2">
        <v>98</v>
      </c>
      <c r="B99" s="2">
        <v>178</v>
      </c>
      <c r="C99" s="2">
        <v>75</v>
      </c>
      <c r="H99" s="2">
        <v>171</v>
      </c>
      <c r="I99" s="2">
        <v>169</v>
      </c>
      <c r="J99" s="2">
        <v>61</v>
      </c>
      <c r="L99" s="6"/>
      <c r="M99" s="6"/>
      <c r="N99" s="2">
        <v>177</v>
      </c>
      <c r="O99" s="2">
        <v>163</v>
      </c>
      <c r="P99" s="2">
        <v>65</v>
      </c>
      <c r="R99" s="6"/>
    </row>
    <row r="100" spans="1:18" x14ac:dyDescent="0.3">
      <c r="A100" s="2">
        <v>99</v>
      </c>
      <c r="B100" s="2">
        <v>162</v>
      </c>
      <c r="C100" s="2">
        <v>53</v>
      </c>
      <c r="H100" s="2">
        <v>180</v>
      </c>
      <c r="I100" s="2">
        <v>169</v>
      </c>
      <c r="J100" s="2">
        <v>70</v>
      </c>
      <c r="L100" s="6"/>
      <c r="M100" s="6"/>
      <c r="N100" s="2">
        <v>183</v>
      </c>
      <c r="O100" s="2">
        <v>172</v>
      </c>
      <c r="P100" s="2">
        <v>65</v>
      </c>
      <c r="R100" s="6"/>
    </row>
    <row r="101" spans="1:18" x14ac:dyDescent="0.3">
      <c r="A101" s="2">
        <v>100</v>
      </c>
      <c r="B101" s="2">
        <v>178</v>
      </c>
      <c r="C101" s="2">
        <v>69</v>
      </c>
      <c r="H101" s="2">
        <v>189</v>
      </c>
      <c r="I101" s="2">
        <v>169</v>
      </c>
      <c r="J101" s="2">
        <v>66</v>
      </c>
      <c r="L101" s="6"/>
      <c r="M101" s="6"/>
      <c r="N101" s="2">
        <v>197</v>
      </c>
      <c r="O101" s="2">
        <v>171</v>
      </c>
      <c r="P101" s="2">
        <v>65</v>
      </c>
      <c r="R101" s="6"/>
    </row>
    <row r="102" spans="1:18" x14ac:dyDescent="0.3">
      <c r="A102" s="2">
        <v>101</v>
      </c>
      <c r="B102" s="2">
        <v>164</v>
      </c>
      <c r="C102" s="2">
        <v>70</v>
      </c>
      <c r="H102" s="2">
        <v>192</v>
      </c>
      <c r="I102" s="2">
        <v>169</v>
      </c>
      <c r="J102" s="2">
        <v>66</v>
      </c>
      <c r="L102" s="6"/>
      <c r="M102" s="6"/>
      <c r="N102" s="2">
        <v>9</v>
      </c>
      <c r="O102" s="2">
        <v>161</v>
      </c>
      <c r="P102" s="2">
        <v>66</v>
      </c>
      <c r="R102" s="6"/>
    </row>
    <row r="103" spans="1:18" x14ac:dyDescent="0.3">
      <c r="A103" s="2">
        <v>102</v>
      </c>
      <c r="B103" s="2">
        <v>176</v>
      </c>
      <c r="C103" s="2">
        <v>67</v>
      </c>
      <c r="H103" s="2">
        <v>7</v>
      </c>
      <c r="I103" s="2">
        <v>170</v>
      </c>
      <c r="J103" s="2">
        <v>76</v>
      </c>
      <c r="L103" s="6"/>
      <c r="M103" s="6"/>
      <c r="N103" s="2">
        <v>12</v>
      </c>
      <c r="O103" s="2">
        <v>161</v>
      </c>
      <c r="P103" s="2">
        <v>66</v>
      </c>
      <c r="R103" s="6"/>
    </row>
    <row r="104" spans="1:18" x14ac:dyDescent="0.3">
      <c r="A104" s="2">
        <v>103</v>
      </c>
      <c r="B104" s="2">
        <v>163</v>
      </c>
      <c r="C104" s="2">
        <v>58</v>
      </c>
      <c r="H104" s="2">
        <v>31</v>
      </c>
      <c r="I104" s="2">
        <v>170</v>
      </c>
      <c r="J104" s="2">
        <v>61</v>
      </c>
      <c r="L104" s="6"/>
      <c r="M104" s="6"/>
      <c r="N104" s="2">
        <v>24</v>
      </c>
      <c r="O104" s="2">
        <v>168</v>
      </c>
      <c r="P104" s="2">
        <v>66</v>
      </c>
      <c r="R104" s="6"/>
    </row>
    <row r="105" spans="1:18" x14ac:dyDescent="0.3">
      <c r="A105" s="2">
        <v>104</v>
      </c>
      <c r="B105" s="2">
        <v>164</v>
      </c>
      <c r="C105" s="2">
        <v>62</v>
      </c>
      <c r="H105" s="2">
        <v>53</v>
      </c>
      <c r="I105" s="2">
        <v>170</v>
      </c>
      <c r="J105" s="2">
        <v>70</v>
      </c>
      <c r="L105" s="6"/>
      <c r="M105" s="6"/>
      <c r="N105" s="2">
        <v>25</v>
      </c>
      <c r="O105" s="2">
        <v>175</v>
      </c>
      <c r="P105" s="2">
        <v>66</v>
      </c>
      <c r="R105" s="6"/>
    </row>
    <row r="106" spans="1:18" x14ac:dyDescent="0.3">
      <c r="A106" s="2">
        <v>105</v>
      </c>
      <c r="B106" s="2">
        <v>170</v>
      </c>
      <c r="C106" s="2">
        <v>68</v>
      </c>
      <c r="H106" s="2">
        <v>57</v>
      </c>
      <c r="I106" s="2">
        <v>170</v>
      </c>
      <c r="J106" s="2">
        <v>58</v>
      </c>
      <c r="L106" s="6"/>
      <c r="M106" s="6"/>
      <c r="N106" s="2">
        <v>48</v>
      </c>
      <c r="O106" s="2">
        <v>174</v>
      </c>
      <c r="P106" s="2">
        <v>66</v>
      </c>
      <c r="R106" s="6"/>
    </row>
    <row r="107" spans="1:18" x14ac:dyDescent="0.3">
      <c r="A107" s="2">
        <v>106</v>
      </c>
      <c r="B107" s="2">
        <v>177</v>
      </c>
      <c r="C107" s="2">
        <v>60</v>
      </c>
      <c r="H107" s="2">
        <v>61</v>
      </c>
      <c r="I107" s="2">
        <v>170</v>
      </c>
      <c r="J107" s="2">
        <v>61</v>
      </c>
      <c r="L107" s="6"/>
      <c r="M107" s="6"/>
      <c r="N107" s="2">
        <v>73</v>
      </c>
      <c r="O107" s="2">
        <v>171</v>
      </c>
      <c r="P107" s="2">
        <v>66</v>
      </c>
      <c r="R107" s="6"/>
    </row>
    <row r="108" spans="1:18" x14ac:dyDescent="0.3">
      <c r="A108" s="2">
        <v>107</v>
      </c>
      <c r="B108" s="2">
        <v>180</v>
      </c>
      <c r="C108" s="2">
        <v>75</v>
      </c>
      <c r="H108" s="2">
        <v>76</v>
      </c>
      <c r="I108" s="2">
        <v>170</v>
      </c>
      <c r="J108" s="2">
        <v>65</v>
      </c>
      <c r="L108" s="6"/>
      <c r="M108" s="6"/>
      <c r="N108" s="2">
        <v>77</v>
      </c>
      <c r="O108" s="2">
        <v>170</v>
      </c>
      <c r="P108" s="2">
        <v>66</v>
      </c>
      <c r="R108" s="6"/>
    </row>
    <row r="109" spans="1:18" x14ac:dyDescent="0.3">
      <c r="A109" s="2">
        <v>108</v>
      </c>
      <c r="B109" s="2">
        <v>175</v>
      </c>
      <c r="C109" s="2">
        <v>75</v>
      </c>
      <c r="H109" s="2">
        <v>77</v>
      </c>
      <c r="I109" s="2">
        <v>170</v>
      </c>
      <c r="J109" s="2">
        <v>66</v>
      </c>
      <c r="L109" s="6"/>
      <c r="M109" s="6"/>
      <c r="N109" s="2">
        <v>79</v>
      </c>
      <c r="O109" s="2">
        <v>162</v>
      </c>
      <c r="P109" s="2">
        <v>66</v>
      </c>
      <c r="R109" s="6"/>
    </row>
    <row r="110" spans="1:18" x14ac:dyDescent="0.3">
      <c r="A110" s="2">
        <v>109</v>
      </c>
      <c r="B110" s="2">
        <v>168</v>
      </c>
      <c r="C110" s="2">
        <v>55</v>
      </c>
      <c r="H110" s="2">
        <v>96</v>
      </c>
      <c r="I110" s="2">
        <v>170</v>
      </c>
      <c r="J110" s="2">
        <v>69</v>
      </c>
      <c r="L110" s="6"/>
      <c r="M110" s="6"/>
      <c r="N110" s="2">
        <v>83</v>
      </c>
      <c r="O110" s="2">
        <v>172</v>
      </c>
      <c r="P110" s="2">
        <v>66</v>
      </c>
      <c r="R110" s="6"/>
    </row>
    <row r="111" spans="1:18" x14ac:dyDescent="0.3">
      <c r="A111" s="2">
        <v>110</v>
      </c>
      <c r="B111" s="2">
        <v>175</v>
      </c>
      <c r="C111" s="2">
        <v>67</v>
      </c>
      <c r="H111" s="2">
        <v>105</v>
      </c>
      <c r="I111" s="2">
        <v>170</v>
      </c>
      <c r="J111" s="2">
        <v>68</v>
      </c>
      <c r="L111" s="6"/>
      <c r="M111" s="6"/>
      <c r="N111" s="2">
        <v>115</v>
      </c>
      <c r="O111" s="2">
        <v>171</v>
      </c>
      <c r="P111" s="2">
        <v>66</v>
      </c>
      <c r="R111" s="6"/>
    </row>
    <row r="112" spans="1:18" x14ac:dyDescent="0.3">
      <c r="A112" s="2">
        <v>111</v>
      </c>
      <c r="B112" s="2">
        <v>171</v>
      </c>
      <c r="C112" s="2">
        <v>63</v>
      </c>
      <c r="H112" s="2">
        <v>112</v>
      </c>
      <c r="I112" s="2">
        <v>170</v>
      </c>
      <c r="J112" s="2">
        <v>65</v>
      </c>
      <c r="L112" s="6"/>
      <c r="M112" s="6"/>
      <c r="N112" s="2">
        <v>148</v>
      </c>
      <c r="O112" s="2">
        <v>162</v>
      </c>
      <c r="P112" s="2">
        <v>66</v>
      </c>
      <c r="R112" s="6"/>
    </row>
    <row r="113" spans="1:18" x14ac:dyDescent="0.3">
      <c r="A113" s="2">
        <v>112</v>
      </c>
      <c r="B113" s="2">
        <v>170</v>
      </c>
      <c r="C113" s="2">
        <v>65</v>
      </c>
      <c r="H113" s="2">
        <v>121</v>
      </c>
      <c r="I113" s="2">
        <v>170</v>
      </c>
      <c r="J113" s="2">
        <v>75</v>
      </c>
      <c r="L113" s="6"/>
      <c r="M113" s="6"/>
      <c r="N113" s="2">
        <v>159</v>
      </c>
      <c r="O113" s="2">
        <v>173</v>
      </c>
      <c r="P113" s="2">
        <v>66</v>
      </c>
      <c r="R113" s="6"/>
    </row>
    <row r="114" spans="1:18" x14ac:dyDescent="0.3">
      <c r="A114" s="2">
        <v>113</v>
      </c>
      <c r="B114" s="2">
        <v>168</v>
      </c>
      <c r="C114" s="2">
        <v>64</v>
      </c>
      <c r="H114" s="2">
        <v>127</v>
      </c>
      <c r="I114" s="2">
        <v>170</v>
      </c>
      <c r="J114" s="2">
        <v>58</v>
      </c>
      <c r="L114" s="6"/>
      <c r="M114" s="6"/>
      <c r="N114" s="2">
        <v>163</v>
      </c>
      <c r="O114" s="2">
        <v>171</v>
      </c>
      <c r="P114" s="2">
        <v>66</v>
      </c>
      <c r="R114" s="6"/>
    </row>
    <row r="115" spans="1:18" x14ac:dyDescent="0.3">
      <c r="A115" s="2">
        <v>114</v>
      </c>
      <c r="B115" s="2">
        <v>160</v>
      </c>
      <c r="C115" s="2">
        <v>57</v>
      </c>
      <c r="H115" s="2">
        <v>143</v>
      </c>
      <c r="I115" s="2">
        <v>170</v>
      </c>
      <c r="J115" s="2">
        <v>61</v>
      </c>
      <c r="L115" s="6"/>
      <c r="M115" s="6"/>
      <c r="N115" s="2">
        <v>174</v>
      </c>
      <c r="O115" s="2">
        <v>171</v>
      </c>
      <c r="P115" s="2">
        <v>66</v>
      </c>
      <c r="R115" s="6"/>
    </row>
    <row r="116" spans="1:18" x14ac:dyDescent="0.3">
      <c r="A116" s="2">
        <v>115</v>
      </c>
      <c r="B116" s="2">
        <v>171</v>
      </c>
      <c r="C116" s="2">
        <v>66</v>
      </c>
      <c r="H116" s="2">
        <v>176</v>
      </c>
      <c r="I116" s="2">
        <v>170</v>
      </c>
      <c r="J116" s="2">
        <v>61</v>
      </c>
      <c r="L116" s="6"/>
      <c r="M116" s="6"/>
      <c r="N116" s="2">
        <v>187</v>
      </c>
      <c r="O116" s="2">
        <v>171</v>
      </c>
      <c r="P116" s="2">
        <v>66</v>
      </c>
      <c r="R116" s="6"/>
    </row>
    <row r="117" spans="1:18" x14ac:dyDescent="0.3">
      <c r="A117" s="2">
        <v>116</v>
      </c>
      <c r="B117" s="2">
        <v>180</v>
      </c>
      <c r="C117" s="2">
        <v>65</v>
      </c>
      <c r="H117" s="2">
        <v>181</v>
      </c>
      <c r="I117" s="2">
        <v>170</v>
      </c>
      <c r="J117" s="2">
        <v>63</v>
      </c>
      <c r="L117" s="6"/>
      <c r="M117" s="6"/>
      <c r="N117" s="2">
        <v>189</v>
      </c>
      <c r="O117" s="2">
        <v>169</v>
      </c>
      <c r="P117" s="2">
        <v>66</v>
      </c>
      <c r="R117" s="6"/>
    </row>
    <row r="118" spans="1:18" x14ac:dyDescent="0.3">
      <c r="A118" s="2">
        <v>117</v>
      </c>
      <c r="B118" s="2">
        <v>165</v>
      </c>
      <c r="C118" s="2">
        <v>57</v>
      </c>
      <c r="H118" s="2">
        <v>2</v>
      </c>
      <c r="I118" s="2">
        <v>171</v>
      </c>
      <c r="J118" s="2">
        <v>70</v>
      </c>
      <c r="L118" s="6"/>
      <c r="M118" s="6"/>
      <c r="N118" s="2">
        <v>192</v>
      </c>
      <c r="O118" s="2">
        <v>169</v>
      </c>
      <c r="P118" s="2">
        <v>66</v>
      </c>
      <c r="R118" s="6"/>
    </row>
    <row r="119" spans="1:18" x14ac:dyDescent="0.3">
      <c r="A119" s="2">
        <v>118</v>
      </c>
      <c r="B119" s="2">
        <v>176</v>
      </c>
      <c r="C119" s="2">
        <v>77</v>
      </c>
      <c r="H119" s="2">
        <v>27</v>
      </c>
      <c r="I119" s="2">
        <v>171</v>
      </c>
      <c r="J119" s="2">
        <v>63</v>
      </c>
      <c r="L119" s="6"/>
      <c r="M119" s="6"/>
      <c r="N119" s="2">
        <v>10</v>
      </c>
      <c r="O119" s="2">
        <v>168</v>
      </c>
      <c r="P119" s="2">
        <v>67</v>
      </c>
      <c r="R119" s="6"/>
    </row>
    <row r="120" spans="1:18" x14ac:dyDescent="0.3">
      <c r="A120" s="2">
        <v>119</v>
      </c>
      <c r="B120" s="2">
        <v>167</v>
      </c>
      <c r="C120" s="2">
        <v>68</v>
      </c>
      <c r="H120" s="2">
        <v>42</v>
      </c>
      <c r="I120" s="2">
        <v>171</v>
      </c>
      <c r="J120" s="2">
        <v>69</v>
      </c>
      <c r="L120" s="6"/>
      <c r="M120" s="6"/>
      <c r="N120" s="2">
        <v>30</v>
      </c>
      <c r="O120" s="2">
        <v>166</v>
      </c>
      <c r="P120" s="2">
        <v>67</v>
      </c>
      <c r="R120" s="6"/>
    </row>
    <row r="121" spans="1:18" x14ac:dyDescent="0.3">
      <c r="A121" s="2">
        <v>120</v>
      </c>
      <c r="B121" s="2">
        <v>163</v>
      </c>
      <c r="C121" s="2">
        <v>54</v>
      </c>
      <c r="H121" s="2">
        <v>73</v>
      </c>
      <c r="I121" s="2">
        <v>171</v>
      </c>
      <c r="J121" s="2">
        <v>66</v>
      </c>
      <c r="L121" s="6"/>
      <c r="M121" s="6"/>
      <c r="N121" s="2">
        <v>74</v>
      </c>
      <c r="O121" s="2">
        <v>169</v>
      </c>
      <c r="P121" s="2">
        <v>67</v>
      </c>
      <c r="R121" s="6"/>
    </row>
    <row r="122" spans="1:18" x14ac:dyDescent="0.3">
      <c r="A122" s="2">
        <v>121</v>
      </c>
      <c r="B122" s="2">
        <v>170</v>
      </c>
      <c r="C122" s="2">
        <v>75</v>
      </c>
      <c r="H122" s="2">
        <v>111</v>
      </c>
      <c r="I122" s="2">
        <v>171</v>
      </c>
      <c r="J122" s="2">
        <v>63</v>
      </c>
      <c r="L122" s="6"/>
      <c r="M122" s="6"/>
      <c r="N122" s="2">
        <v>90</v>
      </c>
      <c r="O122" s="2">
        <v>163</v>
      </c>
      <c r="P122" s="2">
        <v>67</v>
      </c>
      <c r="R122" s="6"/>
    </row>
    <row r="123" spans="1:18" x14ac:dyDescent="0.3">
      <c r="A123" s="2">
        <v>122</v>
      </c>
      <c r="B123" s="2">
        <v>174</v>
      </c>
      <c r="C123" s="2">
        <v>67</v>
      </c>
      <c r="H123" s="2">
        <v>115</v>
      </c>
      <c r="I123" s="2">
        <v>171</v>
      </c>
      <c r="J123" s="2">
        <v>66</v>
      </c>
      <c r="L123" s="6"/>
      <c r="M123" s="6"/>
      <c r="N123" s="2">
        <v>94</v>
      </c>
      <c r="O123" s="2">
        <v>168</v>
      </c>
      <c r="P123" s="2">
        <v>67</v>
      </c>
      <c r="R123" s="6"/>
    </row>
    <row r="124" spans="1:18" x14ac:dyDescent="0.3">
      <c r="A124" s="2">
        <v>123</v>
      </c>
      <c r="B124" s="2">
        <v>167</v>
      </c>
      <c r="C124" s="2">
        <v>65</v>
      </c>
      <c r="H124" s="2">
        <v>146</v>
      </c>
      <c r="I124" s="2">
        <v>171</v>
      </c>
      <c r="J124" s="2">
        <v>59</v>
      </c>
      <c r="L124" s="6"/>
      <c r="M124" s="6"/>
      <c r="N124" s="2">
        <v>102</v>
      </c>
      <c r="O124" s="2">
        <v>176</v>
      </c>
      <c r="P124" s="2">
        <v>67</v>
      </c>
      <c r="R124" s="6"/>
    </row>
    <row r="125" spans="1:18" x14ac:dyDescent="0.3">
      <c r="A125" s="2">
        <v>124</v>
      </c>
      <c r="B125" s="2">
        <v>172</v>
      </c>
      <c r="C125" s="2">
        <v>73</v>
      </c>
      <c r="H125" s="2">
        <v>153</v>
      </c>
      <c r="I125" s="2">
        <v>171</v>
      </c>
      <c r="J125" s="2">
        <v>57</v>
      </c>
      <c r="L125" s="6"/>
      <c r="M125" s="6"/>
      <c r="N125" s="2">
        <v>110</v>
      </c>
      <c r="O125" s="2">
        <v>175</v>
      </c>
      <c r="P125" s="2">
        <v>67</v>
      </c>
      <c r="R125" s="6"/>
    </row>
    <row r="126" spans="1:18" x14ac:dyDescent="0.3">
      <c r="A126" s="2">
        <v>125</v>
      </c>
      <c r="B126" s="2">
        <v>173</v>
      </c>
      <c r="C126" s="2">
        <v>69</v>
      </c>
      <c r="H126" s="2">
        <v>163</v>
      </c>
      <c r="I126" s="2">
        <v>171</v>
      </c>
      <c r="J126" s="2">
        <v>66</v>
      </c>
      <c r="L126" s="6"/>
      <c r="M126" s="6"/>
      <c r="N126" s="2">
        <v>122</v>
      </c>
      <c r="O126" s="2">
        <v>174</v>
      </c>
      <c r="P126" s="2">
        <v>67</v>
      </c>
      <c r="R126" s="6"/>
    </row>
    <row r="127" spans="1:18" x14ac:dyDescent="0.3">
      <c r="A127" s="2">
        <v>126</v>
      </c>
      <c r="B127" s="2">
        <v>164</v>
      </c>
      <c r="C127" s="2">
        <v>65</v>
      </c>
      <c r="H127" s="2">
        <v>174</v>
      </c>
      <c r="I127" s="2">
        <v>171</v>
      </c>
      <c r="J127" s="2">
        <v>66</v>
      </c>
      <c r="L127" s="6"/>
      <c r="M127" s="6"/>
      <c r="N127" s="2">
        <v>129</v>
      </c>
      <c r="O127" s="2">
        <v>176</v>
      </c>
      <c r="P127" s="2">
        <v>67</v>
      </c>
      <c r="R127" s="6"/>
    </row>
    <row r="128" spans="1:18" x14ac:dyDescent="0.3">
      <c r="A128" s="2">
        <v>127</v>
      </c>
      <c r="B128" s="2">
        <v>170</v>
      </c>
      <c r="C128" s="2">
        <v>58</v>
      </c>
      <c r="H128" s="2">
        <v>179</v>
      </c>
      <c r="I128" s="2">
        <v>171</v>
      </c>
      <c r="J128" s="2">
        <v>70</v>
      </c>
      <c r="L128" s="6"/>
      <c r="M128" s="6"/>
      <c r="N128" s="2">
        <v>132</v>
      </c>
      <c r="O128" s="2">
        <v>168</v>
      </c>
      <c r="P128" s="2">
        <v>67</v>
      </c>
      <c r="R128" s="6"/>
    </row>
    <row r="129" spans="1:18" x14ac:dyDescent="0.3">
      <c r="A129" s="2">
        <v>128</v>
      </c>
      <c r="B129" s="2">
        <v>168</v>
      </c>
      <c r="C129" s="2">
        <v>58</v>
      </c>
      <c r="H129" s="2">
        <v>184</v>
      </c>
      <c r="I129" s="2">
        <v>171</v>
      </c>
      <c r="J129" s="2">
        <v>64</v>
      </c>
      <c r="L129" s="6"/>
      <c r="M129" s="6"/>
      <c r="N129" s="2">
        <v>141</v>
      </c>
      <c r="O129" s="2">
        <v>172</v>
      </c>
      <c r="P129" s="2">
        <v>67</v>
      </c>
      <c r="R129" s="6"/>
    </row>
    <row r="130" spans="1:18" x14ac:dyDescent="0.3">
      <c r="A130" s="2">
        <v>129</v>
      </c>
      <c r="B130" s="2">
        <v>176</v>
      </c>
      <c r="C130" s="2">
        <v>67</v>
      </c>
      <c r="H130" s="2">
        <v>187</v>
      </c>
      <c r="I130" s="2">
        <v>171</v>
      </c>
      <c r="J130" s="2">
        <v>66</v>
      </c>
      <c r="L130" s="6"/>
      <c r="M130" s="6"/>
      <c r="N130" s="2">
        <v>145</v>
      </c>
      <c r="O130" s="2">
        <v>166</v>
      </c>
      <c r="P130" s="2">
        <v>67</v>
      </c>
      <c r="R130" s="6"/>
    </row>
    <row r="131" spans="1:18" x14ac:dyDescent="0.3">
      <c r="A131" s="2">
        <v>130</v>
      </c>
      <c r="B131" s="2">
        <v>168</v>
      </c>
      <c r="C131" s="2">
        <v>60</v>
      </c>
      <c r="H131" s="2">
        <v>195</v>
      </c>
      <c r="I131" s="2">
        <v>171</v>
      </c>
      <c r="J131" s="2">
        <v>69</v>
      </c>
      <c r="L131" s="6"/>
      <c r="M131" s="6"/>
      <c r="N131" s="2">
        <v>147</v>
      </c>
      <c r="O131" s="2">
        <v>169</v>
      </c>
      <c r="P131" s="2">
        <v>67</v>
      </c>
      <c r="R131" s="6"/>
    </row>
    <row r="132" spans="1:18" x14ac:dyDescent="0.3">
      <c r="A132" s="2">
        <v>131</v>
      </c>
      <c r="B132" s="2">
        <v>179</v>
      </c>
      <c r="C132" s="2">
        <v>71</v>
      </c>
      <c r="H132" s="2">
        <v>197</v>
      </c>
      <c r="I132" s="2">
        <v>171</v>
      </c>
      <c r="J132" s="2">
        <v>65</v>
      </c>
      <c r="L132" s="6"/>
      <c r="M132" s="6"/>
      <c r="N132" s="2">
        <v>154</v>
      </c>
      <c r="O132" s="2">
        <v>172</v>
      </c>
      <c r="P132" s="2">
        <v>67</v>
      </c>
      <c r="R132" s="6"/>
    </row>
    <row r="133" spans="1:18" x14ac:dyDescent="0.3">
      <c r="A133" s="2">
        <v>132</v>
      </c>
      <c r="B133" s="2">
        <v>168</v>
      </c>
      <c r="C133" s="2">
        <v>67</v>
      </c>
      <c r="H133" s="2">
        <v>198</v>
      </c>
      <c r="I133" s="2">
        <v>171</v>
      </c>
      <c r="J133" s="2">
        <v>69</v>
      </c>
      <c r="L133" s="6"/>
      <c r="M133" s="6"/>
      <c r="N133" s="2">
        <v>155</v>
      </c>
      <c r="O133" s="2">
        <v>175</v>
      </c>
      <c r="P133" s="2">
        <v>67</v>
      </c>
      <c r="R133" s="6"/>
    </row>
    <row r="134" spans="1:18" x14ac:dyDescent="0.3">
      <c r="A134" s="2">
        <v>133</v>
      </c>
      <c r="B134" s="2">
        <v>176</v>
      </c>
      <c r="C134" s="2">
        <v>65</v>
      </c>
      <c r="H134" s="2">
        <v>32</v>
      </c>
      <c r="I134" s="2">
        <v>172</v>
      </c>
      <c r="J134" s="2">
        <v>74</v>
      </c>
      <c r="L134" s="6"/>
      <c r="M134" s="6"/>
      <c r="N134" s="2">
        <v>190</v>
      </c>
      <c r="O134" s="2">
        <v>167</v>
      </c>
      <c r="P134" s="2">
        <v>67</v>
      </c>
      <c r="R134" s="6"/>
    </row>
    <row r="135" spans="1:18" x14ac:dyDescent="0.3">
      <c r="A135" s="2">
        <v>134</v>
      </c>
      <c r="B135" s="2">
        <v>184</v>
      </c>
      <c r="C135" s="2">
        <v>68</v>
      </c>
      <c r="H135" s="2">
        <v>41</v>
      </c>
      <c r="I135" s="2">
        <v>172</v>
      </c>
      <c r="J135" s="2">
        <v>63</v>
      </c>
      <c r="L135" s="6"/>
      <c r="M135" s="6"/>
      <c r="N135" s="2">
        <v>191</v>
      </c>
      <c r="O135" s="2">
        <v>168</v>
      </c>
      <c r="P135" s="2">
        <v>67</v>
      </c>
      <c r="R135" s="6"/>
    </row>
    <row r="136" spans="1:18" x14ac:dyDescent="0.3">
      <c r="A136" s="2">
        <v>135</v>
      </c>
      <c r="B136" s="2">
        <v>165</v>
      </c>
      <c r="C136" s="2">
        <v>60</v>
      </c>
      <c r="H136" s="2">
        <v>65</v>
      </c>
      <c r="I136" s="2">
        <v>172</v>
      </c>
      <c r="J136" s="2">
        <v>64</v>
      </c>
      <c r="L136" s="6"/>
      <c r="M136" s="6"/>
      <c r="N136" s="2">
        <v>8</v>
      </c>
      <c r="O136" s="2">
        <v>181</v>
      </c>
      <c r="P136" s="2">
        <v>68</v>
      </c>
      <c r="R136" s="6"/>
    </row>
    <row r="137" spans="1:18" x14ac:dyDescent="0.3">
      <c r="A137" s="2">
        <v>136</v>
      </c>
      <c r="B137" s="2">
        <v>176</v>
      </c>
      <c r="C137" s="2">
        <v>72</v>
      </c>
      <c r="H137" s="2">
        <v>67</v>
      </c>
      <c r="I137" s="2">
        <v>172</v>
      </c>
      <c r="J137" s="2">
        <v>78</v>
      </c>
      <c r="L137" s="6"/>
      <c r="M137" s="6"/>
      <c r="N137" s="2">
        <v>43</v>
      </c>
      <c r="O137" s="2">
        <v>173</v>
      </c>
      <c r="P137" s="2">
        <v>68</v>
      </c>
      <c r="R137" s="6"/>
    </row>
    <row r="138" spans="1:18" x14ac:dyDescent="0.3">
      <c r="A138" s="2">
        <v>137</v>
      </c>
      <c r="B138" s="2">
        <v>163</v>
      </c>
      <c r="C138" s="2">
        <v>65</v>
      </c>
      <c r="H138" s="2">
        <v>83</v>
      </c>
      <c r="I138" s="2">
        <v>172</v>
      </c>
      <c r="J138" s="2">
        <v>66</v>
      </c>
      <c r="L138" s="6"/>
      <c r="M138" s="6"/>
      <c r="N138" s="2">
        <v>87</v>
      </c>
      <c r="O138" s="2">
        <v>159</v>
      </c>
      <c r="P138" s="2">
        <v>68</v>
      </c>
      <c r="R138" s="6"/>
    </row>
    <row r="139" spans="1:18" x14ac:dyDescent="0.3">
      <c r="A139" s="2">
        <v>138</v>
      </c>
      <c r="B139" s="2">
        <v>167</v>
      </c>
      <c r="C139" s="2">
        <v>60</v>
      </c>
      <c r="H139" s="2">
        <v>124</v>
      </c>
      <c r="I139" s="2">
        <v>172</v>
      </c>
      <c r="J139" s="2">
        <v>73</v>
      </c>
      <c r="L139" s="6"/>
      <c r="M139" s="6"/>
      <c r="N139" s="2">
        <v>95</v>
      </c>
      <c r="O139" s="2">
        <v>169</v>
      </c>
      <c r="P139" s="2">
        <v>68</v>
      </c>
      <c r="R139" s="6"/>
    </row>
    <row r="140" spans="1:18" x14ac:dyDescent="0.3">
      <c r="A140" s="2">
        <v>139</v>
      </c>
      <c r="B140" s="2">
        <v>160</v>
      </c>
      <c r="C140" s="2">
        <v>57</v>
      </c>
      <c r="H140" s="2">
        <v>141</v>
      </c>
      <c r="I140" s="2">
        <v>172</v>
      </c>
      <c r="J140" s="2">
        <v>67</v>
      </c>
      <c r="L140" s="6"/>
      <c r="M140" s="6"/>
      <c r="N140" s="2">
        <v>105</v>
      </c>
      <c r="O140" s="2">
        <v>170</v>
      </c>
      <c r="P140" s="2">
        <v>68</v>
      </c>
      <c r="R140" s="6"/>
    </row>
    <row r="141" spans="1:18" x14ac:dyDescent="0.3">
      <c r="A141" s="2">
        <v>140</v>
      </c>
      <c r="B141" s="2">
        <v>186</v>
      </c>
      <c r="C141" s="2">
        <v>72</v>
      </c>
      <c r="H141" s="2">
        <v>154</v>
      </c>
      <c r="I141" s="2">
        <v>172</v>
      </c>
      <c r="J141" s="2">
        <v>67</v>
      </c>
      <c r="L141" s="6"/>
      <c r="M141" s="6"/>
      <c r="N141" s="2">
        <v>119</v>
      </c>
      <c r="O141" s="2">
        <v>167</v>
      </c>
      <c r="P141" s="2">
        <v>68</v>
      </c>
      <c r="R141" s="6"/>
    </row>
    <row r="142" spans="1:18" x14ac:dyDescent="0.3">
      <c r="A142" s="2">
        <v>141</v>
      </c>
      <c r="B142" s="2">
        <v>172</v>
      </c>
      <c r="C142" s="2">
        <v>67</v>
      </c>
      <c r="H142" s="2">
        <v>156</v>
      </c>
      <c r="I142" s="2">
        <v>172</v>
      </c>
      <c r="J142" s="2">
        <v>70</v>
      </c>
      <c r="L142" s="6"/>
      <c r="M142" s="6"/>
      <c r="N142" s="2">
        <v>134</v>
      </c>
      <c r="O142" s="2">
        <v>184</v>
      </c>
      <c r="P142" s="2">
        <v>68</v>
      </c>
      <c r="R142" s="6"/>
    </row>
    <row r="143" spans="1:18" x14ac:dyDescent="0.3">
      <c r="A143" s="2">
        <v>142</v>
      </c>
      <c r="B143" s="2">
        <v>166</v>
      </c>
      <c r="C143" s="2">
        <v>62</v>
      </c>
      <c r="H143" s="2">
        <v>168</v>
      </c>
      <c r="I143" s="2">
        <v>172</v>
      </c>
      <c r="J143" s="2">
        <v>74</v>
      </c>
      <c r="L143" s="6"/>
      <c r="M143" s="6"/>
      <c r="N143" s="2">
        <v>165</v>
      </c>
      <c r="O143" s="2">
        <v>169</v>
      </c>
      <c r="P143" s="2">
        <v>68</v>
      </c>
      <c r="R143" s="6"/>
    </row>
    <row r="144" spans="1:18" x14ac:dyDescent="0.3">
      <c r="A144" s="2">
        <v>143</v>
      </c>
      <c r="B144" s="2">
        <v>170</v>
      </c>
      <c r="C144" s="2">
        <v>61</v>
      </c>
      <c r="H144" s="2">
        <v>172</v>
      </c>
      <c r="I144" s="2">
        <v>172</v>
      </c>
      <c r="J144" s="2">
        <v>63</v>
      </c>
      <c r="L144" s="6"/>
      <c r="M144" s="6"/>
      <c r="N144" s="2">
        <v>39</v>
      </c>
      <c r="O144" s="2">
        <v>174</v>
      </c>
      <c r="P144" s="2">
        <v>69</v>
      </c>
      <c r="R144" s="6"/>
    </row>
    <row r="145" spans="1:18" x14ac:dyDescent="0.3">
      <c r="A145" s="2">
        <v>144</v>
      </c>
      <c r="B145" s="2">
        <v>173</v>
      </c>
      <c r="C145" s="2">
        <v>72</v>
      </c>
      <c r="H145" s="2">
        <v>183</v>
      </c>
      <c r="I145" s="2">
        <v>172</v>
      </c>
      <c r="J145" s="2">
        <v>65</v>
      </c>
      <c r="L145" s="6"/>
      <c r="M145" s="6"/>
      <c r="N145" s="2">
        <v>42</v>
      </c>
      <c r="O145" s="2">
        <v>171</v>
      </c>
      <c r="P145" s="2">
        <v>69</v>
      </c>
      <c r="R145" s="6"/>
    </row>
    <row r="146" spans="1:18" x14ac:dyDescent="0.3">
      <c r="A146" s="2">
        <v>145</v>
      </c>
      <c r="B146" s="2">
        <v>166</v>
      </c>
      <c r="C146" s="2">
        <v>67</v>
      </c>
      <c r="H146" s="2">
        <v>199</v>
      </c>
      <c r="I146" s="2">
        <v>172</v>
      </c>
      <c r="J146" s="2">
        <v>69</v>
      </c>
      <c r="L146" s="6"/>
      <c r="M146" s="6"/>
      <c r="N146" s="2">
        <v>52</v>
      </c>
      <c r="O146" s="2">
        <v>178</v>
      </c>
      <c r="P146" s="2">
        <v>69</v>
      </c>
      <c r="R146" s="6"/>
    </row>
    <row r="147" spans="1:18" x14ac:dyDescent="0.3">
      <c r="A147" s="2">
        <v>146</v>
      </c>
      <c r="B147" s="2">
        <v>171</v>
      </c>
      <c r="C147" s="2">
        <v>59</v>
      </c>
      <c r="H147" s="2">
        <v>29</v>
      </c>
      <c r="I147" s="2">
        <v>173</v>
      </c>
      <c r="J147" s="2">
        <v>63</v>
      </c>
      <c r="L147" s="6"/>
      <c r="M147" s="6"/>
      <c r="N147" s="2">
        <v>55</v>
      </c>
      <c r="O147" s="2">
        <v>173</v>
      </c>
      <c r="P147" s="2">
        <v>69</v>
      </c>
      <c r="R147" s="6"/>
    </row>
    <row r="148" spans="1:18" x14ac:dyDescent="0.3">
      <c r="A148" s="2">
        <v>147</v>
      </c>
      <c r="B148" s="2">
        <v>169</v>
      </c>
      <c r="C148" s="2">
        <v>67</v>
      </c>
      <c r="H148" s="2">
        <v>43</v>
      </c>
      <c r="I148" s="2">
        <v>173</v>
      </c>
      <c r="J148" s="2">
        <v>68</v>
      </c>
      <c r="L148" s="6"/>
      <c r="M148" s="6"/>
      <c r="N148" s="2">
        <v>96</v>
      </c>
      <c r="O148" s="2">
        <v>170</v>
      </c>
      <c r="P148" s="2">
        <v>69</v>
      </c>
      <c r="R148" s="6"/>
    </row>
    <row r="149" spans="1:18" x14ac:dyDescent="0.3">
      <c r="A149" s="2">
        <v>148</v>
      </c>
      <c r="B149" s="2">
        <v>162</v>
      </c>
      <c r="C149" s="2">
        <v>66</v>
      </c>
      <c r="H149" s="2">
        <v>50</v>
      </c>
      <c r="I149" s="2">
        <v>173</v>
      </c>
      <c r="J149" s="2">
        <v>71</v>
      </c>
      <c r="L149" s="6"/>
      <c r="M149" s="6"/>
      <c r="N149" s="2">
        <v>100</v>
      </c>
      <c r="O149" s="2">
        <v>178</v>
      </c>
      <c r="P149" s="2">
        <v>69</v>
      </c>
      <c r="R149" s="6"/>
    </row>
    <row r="150" spans="1:18" x14ac:dyDescent="0.3">
      <c r="A150" s="2">
        <v>149</v>
      </c>
      <c r="B150" s="2">
        <v>185</v>
      </c>
      <c r="C150" s="2">
        <v>82</v>
      </c>
      <c r="H150" s="2">
        <v>55</v>
      </c>
      <c r="I150" s="2">
        <v>173</v>
      </c>
      <c r="J150" s="2">
        <v>69</v>
      </c>
      <c r="L150" s="6"/>
      <c r="M150" s="6"/>
      <c r="N150" s="2">
        <v>125</v>
      </c>
      <c r="O150" s="2">
        <v>173</v>
      </c>
      <c r="P150" s="2">
        <v>69</v>
      </c>
      <c r="R150" s="6"/>
    </row>
    <row r="151" spans="1:18" x14ac:dyDescent="0.3">
      <c r="A151" s="2">
        <v>150</v>
      </c>
      <c r="B151" s="2">
        <v>178</v>
      </c>
      <c r="C151" s="2">
        <v>71</v>
      </c>
      <c r="H151" s="2">
        <v>125</v>
      </c>
      <c r="I151" s="2">
        <v>173</v>
      </c>
      <c r="J151" s="2">
        <v>69</v>
      </c>
      <c r="L151" s="6"/>
      <c r="M151" s="6"/>
      <c r="N151" s="2">
        <v>164</v>
      </c>
      <c r="O151" s="2">
        <v>173</v>
      </c>
      <c r="P151" s="2">
        <v>69</v>
      </c>
      <c r="R151" s="6"/>
    </row>
    <row r="152" spans="1:18" x14ac:dyDescent="0.3">
      <c r="A152" s="2">
        <v>151</v>
      </c>
      <c r="B152" s="2">
        <v>165</v>
      </c>
      <c r="C152" s="2">
        <v>60</v>
      </c>
      <c r="H152" s="2">
        <v>144</v>
      </c>
      <c r="I152" s="2">
        <v>173</v>
      </c>
      <c r="J152" s="2">
        <v>72</v>
      </c>
      <c r="L152" s="6"/>
      <c r="M152" s="6"/>
      <c r="N152" s="2">
        <v>167</v>
      </c>
      <c r="O152" s="2">
        <v>173</v>
      </c>
      <c r="P152" s="2">
        <v>69</v>
      </c>
      <c r="R152" s="6"/>
    </row>
    <row r="153" spans="1:18" x14ac:dyDescent="0.3">
      <c r="A153" s="2">
        <v>152</v>
      </c>
      <c r="B153" s="2">
        <v>163</v>
      </c>
      <c r="C153" s="2">
        <v>63</v>
      </c>
      <c r="H153" s="2">
        <v>159</v>
      </c>
      <c r="I153" s="2">
        <v>173</v>
      </c>
      <c r="J153" s="2">
        <v>66</v>
      </c>
      <c r="L153" s="6"/>
      <c r="M153" s="6"/>
      <c r="N153" s="2">
        <v>169</v>
      </c>
      <c r="O153" s="2">
        <v>173</v>
      </c>
      <c r="P153" s="2">
        <v>69</v>
      </c>
      <c r="R153" s="6"/>
    </row>
    <row r="154" spans="1:18" x14ac:dyDescent="0.3">
      <c r="A154" s="2">
        <v>153</v>
      </c>
      <c r="B154" s="2">
        <v>171</v>
      </c>
      <c r="C154" s="2">
        <v>57</v>
      </c>
      <c r="H154" s="2">
        <v>164</v>
      </c>
      <c r="I154" s="2">
        <v>173</v>
      </c>
      <c r="J154" s="2">
        <v>69</v>
      </c>
      <c r="L154" s="6"/>
      <c r="M154" s="6"/>
      <c r="N154" s="2">
        <v>195</v>
      </c>
      <c r="O154" s="2">
        <v>171</v>
      </c>
      <c r="P154" s="2">
        <v>69</v>
      </c>
      <c r="R154" s="6"/>
    </row>
    <row r="155" spans="1:18" x14ac:dyDescent="0.3">
      <c r="A155" s="2">
        <v>154</v>
      </c>
      <c r="B155" s="2">
        <v>172</v>
      </c>
      <c r="C155" s="2">
        <v>67</v>
      </c>
      <c r="H155" s="2">
        <v>167</v>
      </c>
      <c r="I155" s="2">
        <v>173</v>
      </c>
      <c r="J155" s="2">
        <v>69</v>
      </c>
      <c r="L155" s="6"/>
      <c r="M155" s="6"/>
      <c r="N155" s="2">
        <v>198</v>
      </c>
      <c r="O155" s="2">
        <v>171</v>
      </c>
      <c r="P155" s="2">
        <v>69</v>
      </c>
      <c r="R155" s="6"/>
    </row>
    <row r="156" spans="1:18" x14ac:dyDescent="0.3">
      <c r="A156" s="2">
        <v>155</v>
      </c>
      <c r="B156" s="2">
        <v>175</v>
      </c>
      <c r="C156" s="2">
        <v>67</v>
      </c>
      <c r="H156" s="2">
        <v>169</v>
      </c>
      <c r="I156" s="2">
        <v>173</v>
      </c>
      <c r="J156" s="2">
        <v>69</v>
      </c>
      <c r="L156" s="6"/>
      <c r="M156" s="6"/>
      <c r="N156" s="2">
        <v>199</v>
      </c>
      <c r="O156" s="2">
        <v>172</v>
      </c>
      <c r="P156" s="2">
        <v>69</v>
      </c>
      <c r="R156" s="6"/>
    </row>
    <row r="157" spans="1:18" x14ac:dyDescent="0.3">
      <c r="A157" s="2">
        <v>156</v>
      </c>
      <c r="B157" s="2">
        <v>172</v>
      </c>
      <c r="C157" s="2">
        <v>70</v>
      </c>
      <c r="H157" s="2">
        <v>175</v>
      </c>
      <c r="I157" s="2">
        <v>173</v>
      </c>
      <c r="J157" s="2">
        <v>65</v>
      </c>
      <c r="L157" s="6"/>
      <c r="M157" s="6"/>
      <c r="N157" s="2">
        <v>2</v>
      </c>
      <c r="O157" s="2">
        <v>171</v>
      </c>
      <c r="P157" s="2">
        <v>70</v>
      </c>
      <c r="R157" s="6"/>
    </row>
    <row r="158" spans="1:18" x14ac:dyDescent="0.3">
      <c r="A158" s="2">
        <v>157</v>
      </c>
      <c r="B158" s="2">
        <v>162</v>
      </c>
      <c r="C158" s="2">
        <v>54</v>
      </c>
      <c r="H158" s="2">
        <v>39</v>
      </c>
      <c r="I158" s="2">
        <v>174</v>
      </c>
      <c r="J158" s="2">
        <v>69</v>
      </c>
      <c r="L158" s="6"/>
      <c r="M158" s="6"/>
      <c r="N158" s="2">
        <v>44</v>
      </c>
      <c r="O158" s="2">
        <v>176</v>
      </c>
      <c r="P158" s="2">
        <v>70</v>
      </c>
      <c r="R158" s="6"/>
    </row>
    <row r="159" spans="1:18" x14ac:dyDescent="0.3">
      <c r="A159" s="2">
        <v>158</v>
      </c>
      <c r="B159" s="2">
        <v>163</v>
      </c>
      <c r="C159" s="2">
        <v>60</v>
      </c>
      <c r="H159" s="2">
        <v>48</v>
      </c>
      <c r="I159" s="2">
        <v>174</v>
      </c>
      <c r="J159" s="2">
        <v>66</v>
      </c>
      <c r="L159" s="6"/>
      <c r="M159" s="6"/>
      <c r="N159" s="2">
        <v>53</v>
      </c>
      <c r="O159" s="2">
        <v>170</v>
      </c>
      <c r="P159" s="2">
        <v>70</v>
      </c>
      <c r="R159" s="6"/>
    </row>
    <row r="160" spans="1:18" x14ac:dyDescent="0.3">
      <c r="A160" s="2">
        <v>159</v>
      </c>
      <c r="B160" s="2">
        <v>173</v>
      </c>
      <c r="C160" s="2">
        <v>66</v>
      </c>
      <c r="H160" s="2">
        <v>71</v>
      </c>
      <c r="I160" s="2">
        <v>174</v>
      </c>
      <c r="J160" s="2">
        <v>75</v>
      </c>
      <c r="L160" s="6"/>
      <c r="M160" s="6"/>
      <c r="N160" s="2">
        <v>56</v>
      </c>
      <c r="O160" s="2">
        <v>176</v>
      </c>
      <c r="P160" s="2">
        <v>70</v>
      </c>
      <c r="R160" s="6"/>
    </row>
    <row r="161" spans="1:18" x14ac:dyDescent="0.3">
      <c r="A161" s="2">
        <v>160</v>
      </c>
      <c r="B161" s="2">
        <v>174</v>
      </c>
      <c r="C161" s="2">
        <v>79</v>
      </c>
      <c r="H161" s="2">
        <v>122</v>
      </c>
      <c r="I161" s="2">
        <v>174</v>
      </c>
      <c r="J161" s="2">
        <v>67</v>
      </c>
      <c r="L161" s="6"/>
      <c r="M161" s="6"/>
      <c r="N161" s="2">
        <v>101</v>
      </c>
      <c r="O161" s="2">
        <v>164</v>
      </c>
      <c r="P161" s="2">
        <v>70</v>
      </c>
      <c r="R161" s="6"/>
    </row>
    <row r="162" spans="1:18" x14ac:dyDescent="0.3">
      <c r="A162" s="2">
        <v>161</v>
      </c>
      <c r="B162" s="2">
        <v>164</v>
      </c>
      <c r="C162" s="2">
        <v>61</v>
      </c>
      <c r="H162" s="2">
        <v>160</v>
      </c>
      <c r="I162" s="2">
        <v>174</v>
      </c>
      <c r="J162" s="2">
        <v>79</v>
      </c>
      <c r="L162" s="6"/>
      <c r="M162" s="6"/>
      <c r="N162" s="2">
        <v>156</v>
      </c>
      <c r="O162" s="2">
        <v>172</v>
      </c>
      <c r="P162" s="2">
        <v>70</v>
      </c>
      <c r="R162" s="6"/>
    </row>
    <row r="163" spans="1:18" x14ac:dyDescent="0.3">
      <c r="A163" s="2">
        <v>162</v>
      </c>
      <c r="B163" s="2">
        <v>176</v>
      </c>
      <c r="C163" s="2">
        <v>71</v>
      </c>
      <c r="H163" s="2">
        <v>194</v>
      </c>
      <c r="I163" s="2">
        <v>174</v>
      </c>
      <c r="J163" s="2">
        <v>74</v>
      </c>
      <c r="L163" s="6"/>
      <c r="M163" s="6"/>
      <c r="N163" s="2">
        <v>173</v>
      </c>
      <c r="O163" s="2">
        <v>168</v>
      </c>
      <c r="P163" s="2">
        <v>70</v>
      </c>
      <c r="R163" s="6"/>
    </row>
    <row r="164" spans="1:18" x14ac:dyDescent="0.3">
      <c r="A164" s="2">
        <v>163</v>
      </c>
      <c r="B164" s="2">
        <v>171</v>
      </c>
      <c r="C164" s="2">
        <v>66</v>
      </c>
      <c r="H164" s="2">
        <v>25</v>
      </c>
      <c r="I164" s="2">
        <v>175</v>
      </c>
      <c r="J164" s="2">
        <v>66</v>
      </c>
      <c r="L164" s="6"/>
      <c r="M164" s="6"/>
      <c r="N164" s="2">
        <v>179</v>
      </c>
      <c r="O164" s="2">
        <v>171</v>
      </c>
      <c r="P164" s="2">
        <v>70</v>
      </c>
      <c r="R164" s="6"/>
    </row>
    <row r="165" spans="1:18" x14ac:dyDescent="0.3">
      <c r="A165" s="2">
        <v>164</v>
      </c>
      <c r="B165" s="2">
        <v>173</v>
      </c>
      <c r="C165" s="2">
        <v>69</v>
      </c>
      <c r="H165" s="2">
        <v>80</v>
      </c>
      <c r="I165" s="2">
        <v>175</v>
      </c>
      <c r="J165" s="2">
        <v>75</v>
      </c>
      <c r="L165" s="6"/>
      <c r="M165" s="6"/>
      <c r="N165" s="2">
        <v>180</v>
      </c>
      <c r="O165" s="2">
        <v>169</v>
      </c>
      <c r="P165" s="2">
        <v>70</v>
      </c>
      <c r="R165" s="6"/>
    </row>
    <row r="166" spans="1:18" x14ac:dyDescent="0.3">
      <c r="A166" s="2">
        <v>165</v>
      </c>
      <c r="B166" s="2">
        <v>169</v>
      </c>
      <c r="C166" s="2">
        <v>68</v>
      </c>
      <c r="H166" s="2">
        <v>89</v>
      </c>
      <c r="I166" s="2">
        <v>175</v>
      </c>
      <c r="J166" s="2">
        <v>75</v>
      </c>
      <c r="L166" s="6"/>
      <c r="M166" s="6"/>
      <c r="N166" s="2">
        <v>196</v>
      </c>
      <c r="O166" s="2">
        <v>168</v>
      </c>
      <c r="P166" s="2">
        <v>70</v>
      </c>
      <c r="R166" s="6"/>
    </row>
    <row r="167" spans="1:18" x14ac:dyDescent="0.3">
      <c r="A167" s="2">
        <v>166</v>
      </c>
      <c r="B167" s="2">
        <v>166</v>
      </c>
      <c r="C167" s="2">
        <v>61</v>
      </c>
      <c r="H167" s="2">
        <v>108</v>
      </c>
      <c r="I167" s="2">
        <v>175</v>
      </c>
      <c r="J167" s="2">
        <v>75</v>
      </c>
      <c r="L167" s="6"/>
      <c r="M167" s="6"/>
      <c r="N167" s="2">
        <v>50</v>
      </c>
      <c r="O167" s="2">
        <v>173</v>
      </c>
      <c r="P167" s="2">
        <v>71</v>
      </c>
      <c r="R167" s="6"/>
    </row>
    <row r="168" spans="1:18" x14ac:dyDescent="0.3">
      <c r="A168" s="2">
        <v>167</v>
      </c>
      <c r="B168" s="2">
        <v>173</v>
      </c>
      <c r="C168" s="2">
        <v>69</v>
      </c>
      <c r="H168" s="2">
        <v>110</v>
      </c>
      <c r="I168" s="2">
        <v>175</v>
      </c>
      <c r="J168" s="2">
        <v>67</v>
      </c>
      <c r="L168" s="6"/>
      <c r="M168" s="6"/>
      <c r="N168" s="2">
        <v>131</v>
      </c>
      <c r="O168" s="2">
        <v>179</v>
      </c>
      <c r="P168" s="2">
        <v>71</v>
      </c>
      <c r="R168" s="6"/>
    </row>
    <row r="169" spans="1:18" x14ac:dyDescent="0.3">
      <c r="A169" s="2">
        <v>168</v>
      </c>
      <c r="B169" s="2">
        <v>172</v>
      </c>
      <c r="C169" s="2">
        <v>74</v>
      </c>
      <c r="H169" s="2">
        <v>155</v>
      </c>
      <c r="I169" s="2">
        <v>175</v>
      </c>
      <c r="J169" s="2">
        <v>67</v>
      </c>
      <c r="L169" s="6"/>
      <c r="M169" s="6"/>
      <c r="N169" s="2">
        <v>150</v>
      </c>
      <c r="O169" s="2">
        <v>178</v>
      </c>
      <c r="P169" s="2">
        <v>71</v>
      </c>
      <c r="R169" s="6"/>
    </row>
    <row r="170" spans="1:18" x14ac:dyDescent="0.3">
      <c r="A170" s="2">
        <v>169</v>
      </c>
      <c r="B170" s="2">
        <v>173</v>
      </c>
      <c r="C170" s="2">
        <v>69</v>
      </c>
      <c r="H170" s="2">
        <v>1</v>
      </c>
      <c r="I170" s="2">
        <v>176</v>
      </c>
      <c r="J170" s="2">
        <v>65</v>
      </c>
      <c r="L170" s="6"/>
      <c r="M170" s="6"/>
      <c r="N170" s="2">
        <v>162</v>
      </c>
      <c r="O170" s="2">
        <v>176</v>
      </c>
      <c r="P170" s="2">
        <v>71</v>
      </c>
      <c r="R170" s="6"/>
    </row>
    <row r="171" spans="1:18" x14ac:dyDescent="0.3">
      <c r="A171" s="2">
        <v>170</v>
      </c>
      <c r="B171" s="2">
        <v>161</v>
      </c>
      <c r="C171" s="2">
        <v>55</v>
      </c>
      <c r="H171" s="2">
        <v>14</v>
      </c>
      <c r="I171" s="2">
        <v>176</v>
      </c>
      <c r="J171" s="2">
        <v>78</v>
      </c>
      <c r="L171" s="6"/>
      <c r="M171" s="6"/>
      <c r="N171" s="2">
        <v>28</v>
      </c>
      <c r="O171" s="2">
        <v>184</v>
      </c>
      <c r="P171" s="2">
        <v>72</v>
      </c>
      <c r="R171" s="6"/>
    </row>
    <row r="172" spans="1:18" x14ac:dyDescent="0.3">
      <c r="A172" s="2">
        <v>171</v>
      </c>
      <c r="B172" s="2">
        <v>169</v>
      </c>
      <c r="C172" s="2">
        <v>61</v>
      </c>
      <c r="H172" s="2">
        <v>33</v>
      </c>
      <c r="I172" s="2">
        <v>176</v>
      </c>
      <c r="J172" s="2">
        <v>81</v>
      </c>
      <c r="L172" s="6"/>
      <c r="M172" s="6"/>
      <c r="N172" s="2">
        <v>136</v>
      </c>
      <c r="O172" s="2">
        <v>176</v>
      </c>
      <c r="P172" s="2">
        <v>72</v>
      </c>
      <c r="R172" s="6"/>
    </row>
    <row r="173" spans="1:18" x14ac:dyDescent="0.3">
      <c r="A173" s="2">
        <v>172</v>
      </c>
      <c r="B173" s="2">
        <v>172</v>
      </c>
      <c r="C173" s="2">
        <v>63</v>
      </c>
      <c r="H173" s="2">
        <v>44</v>
      </c>
      <c r="I173" s="2">
        <v>176</v>
      </c>
      <c r="J173" s="2">
        <v>70</v>
      </c>
      <c r="L173" s="6"/>
      <c r="M173" s="6"/>
      <c r="N173" s="2">
        <v>140</v>
      </c>
      <c r="O173" s="2">
        <v>186</v>
      </c>
      <c r="P173" s="2">
        <v>72</v>
      </c>
      <c r="R173" s="6"/>
    </row>
    <row r="174" spans="1:18" x14ac:dyDescent="0.3">
      <c r="A174" s="2">
        <v>173</v>
      </c>
      <c r="B174" s="2">
        <v>168</v>
      </c>
      <c r="C174" s="2">
        <v>70</v>
      </c>
      <c r="H174" s="2">
        <v>56</v>
      </c>
      <c r="I174" s="2">
        <v>176</v>
      </c>
      <c r="J174" s="2">
        <v>70</v>
      </c>
      <c r="L174" s="6"/>
      <c r="M174" s="6"/>
      <c r="N174" s="2">
        <v>144</v>
      </c>
      <c r="O174" s="2">
        <v>173</v>
      </c>
      <c r="P174" s="2">
        <v>72</v>
      </c>
      <c r="R174" s="6"/>
    </row>
    <row r="175" spans="1:18" x14ac:dyDescent="0.3">
      <c r="A175" s="2">
        <v>174</v>
      </c>
      <c r="B175" s="2">
        <v>171</v>
      </c>
      <c r="C175" s="2">
        <v>66</v>
      </c>
      <c r="H175" s="2">
        <v>75</v>
      </c>
      <c r="I175" s="2">
        <v>176</v>
      </c>
      <c r="J175" s="2">
        <v>62</v>
      </c>
      <c r="L175" s="6"/>
      <c r="M175" s="6"/>
      <c r="N175" s="2">
        <v>186</v>
      </c>
      <c r="O175" s="2">
        <v>177</v>
      </c>
      <c r="P175" s="2">
        <v>72</v>
      </c>
      <c r="R175" s="6"/>
    </row>
    <row r="176" spans="1:18" x14ac:dyDescent="0.3">
      <c r="A176" s="2">
        <v>175</v>
      </c>
      <c r="B176" s="2">
        <v>173</v>
      </c>
      <c r="C176" s="2">
        <v>65</v>
      </c>
      <c r="H176" s="2">
        <v>102</v>
      </c>
      <c r="I176" s="2">
        <v>176</v>
      </c>
      <c r="J176" s="2">
        <v>67</v>
      </c>
      <c r="L176" s="6"/>
      <c r="M176" s="6"/>
      <c r="N176" s="2">
        <v>21</v>
      </c>
      <c r="O176" s="2">
        <v>168</v>
      </c>
      <c r="P176" s="2">
        <v>73</v>
      </c>
      <c r="R176" s="6"/>
    </row>
    <row r="177" spans="1:18" x14ac:dyDescent="0.3">
      <c r="A177" s="2">
        <v>176</v>
      </c>
      <c r="B177" s="2">
        <v>170</v>
      </c>
      <c r="C177" s="2">
        <v>61</v>
      </c>
      <c r="H177" s="2">
        <v>118</v>
      </c>
      <c r="I177" s="2">
        <v>176</v>
      </c>
      <c r="J177" s="2">
        <v>77</v>
      </c>
      <c r="L177" s="6"/>
      <c r="M177" s="6"/>
      <c r="N177" s="2">
        <v>49</v>
      </c>
      <c r="O177" s="2">
        <v>183</v>
      </c>
      <c r="P177" s="2">
        <v>73</v>
      </c>
      <c r="R177" s="6"/>
    </row>
    <row r="178" spans="1:18" x14ac:dyDescent="0.3">
      <c r="A178" s="2">
        <v>177</v>
      </c>
      <c r="B178" s="2">
        <v>163</v>
      </c>
      <c r="C178" s="2">
        <v>65</v>
      </c>
      <c r="H178" s="2">
        <v>129</v>
      </c>
      <c r="I178" s="2">
        <v>176</v>
      </c>
      <c r="J178" s="2">
        <v>67</v>
      </c>
      <c r="L178" s="6"/>
      <c r="M178" s="6"/>
      <c r="N178" s="2">
        <v>124</v>
      </c>
      <c r="O178" s="2">
        <v>172</v>
      </c>
      <c r="P178" s="2">
        <v>73</v>
      </c>
      <c r="R178" s="6"/>
    </row>
    <row r="179" spans="1:18" x14ac:dyDescent="0.3">
      <c r="A179" s="2">
        <v>178</v>
      </c>
      <c r="B179" s="2">
        <v>167</v>
      </c>
      <c r="C179" s="2">
        <v>55</v>
      </c>
      <c r="H179" s="2">
        <v>133</v>
      </c>
      <c r="I179" s="2">
        <v>176</v>
      </c>
      <c r="J179" s="2">
        <v>65</v>
      </c>
      <c r="L179" s="6"/>
      <c r="M179" s="6"/>
      <c r="N179" s="2">
        <v>32</v>
      </c>
      <c r="O179" s="2">
        <v>172</v>
      </c>
      <c r="P179" s="2">
        <v>74</v>
      </c>
      <c r="R179" s="6"/>
    </row>
    <row r="180" spans="1:18" x14ac:dyDescent="0.3">
      <c r="A180" s="2">
        <v>179</v>
      </c>
      <c r="B180" s="2">
        <v>171</v>
      </c>
      <c r="C180" s="2">
        <v>70</v>
      </c>
      <c r="H180" s="2">
        <v>136</v>
      </c>
      <c r="I180" s="2">
        <v>176</v>
      </c>
      <c r="J180" s="2">
        <v>72</v>
      </c>
      <c r="L180" s="6"/>
      <c r="M180" s="6"/>
      <c r="N180" s="2">
        <v>69</v>
      </c>
      <c r="O180" s="2">
        <v>169</v>
      </c>
      <c r="P180" s="2">
        <v>74</v>
      </c>
      <c r="R180" s="6"/>
    </row>
    <row r="181" spans="1:18" x14ac:dyDescent="0.3">
      <c r="A181" s="2">
        <v>180</v>
      </c>
      <c r="B181" s="2">
        <v>169</v>
      </c>
      <c r="C181" s="2">
        <v>70</v>
      </c>
      <c r="H181" s="2">
        <v>162</v>
      </c>
      <c r="I181" s="2">
        <v>176</v>
      </c>
      <c r="J181" s="2">
        <v>71</v>
      </c>
      <c r="L181" s="6"/>
      <c r="M181" s="6"/>
      <c r="N181" s="2">
        <v>168</v>
      </c>
      <c r="O181" s="2">
        <v>172</v>
      </c>
      <c r="P181" s="2">
        <v>74</v>
      </c>
      <c r="R181" s="6"/>
    </row>
    <row r="182" spans="1:18" x14ac:dyDescent="0.3">
      <c r="A182" s="2">
        <v>181</v>
      </c>
      <c r="B182" s="2">
        <v>170</v>
      </c>
      <c r="C182" s="2">
        <v>63</v>
      </c>
      <c r="H182" s="2">
        <v>106</v>
      </c>
      <c r="I182" s="2">
        <v>177</v>
      </c>
      <c r="J182" s="2">
        <v>60</v>
      </c>
      <c r="L182" s="6"/>
      <c r="M182" s="6"/>
      <c r="N182" s="2">
        <v>194</v>
      </c>
      <c r="O182" s="2">
        <v>174</v>
      </c>
      <c r="P182" s="2">
        <v>74</v>
      </c>
      <c r="R182" s="6"/>
    </row>
    <row r="183" spans="1:18" x14ac:dyDescent="0.3">
      <c r="A183" s="2">
        <v>182</v>
      </c>
      <c r="B183" s="2">
        <v>166</v>
      </c>
      <c r="C183" s="2">
        <v>63</v>
      </c>
      <c r="H183" s="2">
        <v>186</v>
      </c>
      <c r="I183" s="2">
        <v>177</v>
      </c>
      <c r="J183" s="2">
        <v>72</v>
      </c>
      <c r="L183" s="6"/>
      <c r="M183" s="6"/>
      <c r="N183" s="2">
        <v>36</v>
      </c>
      <c r="O183" s="2">
        <v>188</v>
      </c>
      <c r="P183" s="2">
        <v>75</v>
      </c>
      <c r="R183" s="6"/>
    </row>
    <row r="184" spans="1:18" x14ac:dyDescent="0.3">
      <c r="A184" s="2">
        <v>183</v>
      </c>
      <c r="B184" s="2">
        <v>172</v>
      </c>
      <c r="C184" s="2">
        <v>65</v>
      </c>
      <c r="H184" s="2">
        <v>52</v>
      </c>
      <c r="I184" s="2">
        <v>178</v>
      </c>
      <c r="J184" s="2">
        <v>69</v>
      </c>
      <c r="L184" s="6"/>
      <c r="M184" s="6"/>
      <c r="N184" s="2">
        <v>68</v>
      </c>
      <c r="O184" s="2">
        <v>178</v>
      </c>
      <c r="P184" s="2">
        <v>75</v>
      </c>
      <c r="R184" s="6"/>
    </row>
    <row r="185" spans="1:18" x14ac:dyDescent="0.3">
      <c r="A185" s="2">
        <v>184</v>
      </c>
      <c r="B185" s="2">
        <v>171</v>
      </c>
      <c r="C185" s="2">
        <v>64</v>
      </c>
      <c r="H185" s="2">
        <v>68</v>
      </c>
      <c r="I185" s="2">
        <v>178</v>
      </c>
      <c r="J185" s="2">
        <v>75</v>
      </c>
      <c r="L185" s="6"/>
      <c r="M185" s="6"/>
      <c r="N185" s="2">
        <v>71</v>
      </c>
      <c r="O185" s="2">
        <v>174</v>
      </c>
      <c r="P185" s="2">
        <v>75</v>
      </c>
      <c r="R185" s="6"/>
    </row>
    <row r="186" spans="1:18" x14ac:dyDescent="0.3">
      <c r="A186" s="2">
        <v>185</v>
      </c>
      <c r="B186" s="2">
        <v>166</v>
      </c>
      <c r="C186" s="2">
        <v>78</v>
      </c>
      <c r="H186" s="2">
        <v>98</v>
      </c>
      <c r="I186" s="2">
        <v>178</v>
      </c>
      <c r="J186" s="2">
        <v>75</v>
      </c>
      <c r="L186" s="6"/>
      <c r="M186" s="6"/>
      <c r="N186" s="2">
        <v>80</v>
      </c>
      <c r="O186" s="2">
        <v>175</v>
      </c>
      <c r="P186" s="2">
        <v>75</v>
      </c>
      <c r="R186" s="6"/>
    </row>
    <row r="187" spans="1:18" x14ac:dyDescent="0.3">
      <c r="A187" s="2">
        <v>186</v>
      </c>
      <c r="B187" s="2">
        <v>177</v>
      </c>
      <c r="C187" s="2">
        <v>72</v>
      </c>
      <c r="H187" s="2">
        <v>100</v>
      </c>
      <c r="I187" s="2">
        <v>178</v>
      </c>
      <c r="J187" s="2">
        <v>69</v>
      </c>
      <c r="L187" s="6"/>
      <c r="M187" s="6"/>
      <c r="N187" s="2">
        <v>89</v>
      </c>
      <c r="O187" s="2">
        <v>175</v>
      </c>
      <c r="P187" s="2">
        <v>75</v>
      </c>
      <c r="R187" s="6"/>
    </row>
    <row r="188" spans="1:18" x14ac:dyDescent="0.3">
      <c r="A188" s="2">
        <v>187</v>
      </c>
      <c r="B188" s="2">
        <v>171</v>
      </c>
      <c r="C188" s="2">
        <v>66</v>
      </c>
      <c r="H188" s="2">
        <v>150</v>
      </c>
      <c r="I188" s="2">
        <v>178</v>
      </c>
      <c r="J188" s="2">
        <v>71</v>
      </c>
      <c r="L188" s="6"/>
      <c r="M188" s="6"/>
      <c r="N188" s="2">
        <v>98</v>
      </c>
      <c r="O188" s="2">
        <v>178</v>
      </c>
      <c r="P188" s="2">
        <v>75</v>
      </c>
      <c r="R188" s="6"/>
    </row>
    <row r="189" spans="1:18" x14ac:dyDescent="0.3">
      <c r="A189" s="2">
        <v>188</v>
      </c>
      <c r="B189" s="2">
        <v>164</v>
      </c>
      <c r="C189" s="2">
        <v>62</v>
      </c>
      <c r="H189" s="2">
        <v>131</v>
      </c>
      <c r="I189" s="2">
        <v>179</v>
      </c>
      <c r="J189" s="2">
        <v>71</v>
      </c>
      <c r="L189" s="6"/>
      <c r="M189" s="6"/>
      <c r="N189" s="2">
        <v>107</v>
      </c>
      <c r="O189" s="2">
        <v>180</v>
      </c>
      <c r="P189" s="2">
        <v>75</v>
      </c>
      <c r="R189" s="6"/>
    </row>
    <row r="190" spans="1:18" x14ac:dyDescent="0.3">
      <c r="A190" s="2">
        <v>189</v>
      </c>
      <c r="B190" s="2">
        <v>169</v>
      </c>
      <c r="C190" s="2">
        <v>66</v>
      </c>
      <c r="H190" s="2">
        <v>92</v>
      </c>
      <c r="I190" s="2">
        <v>180</v>
      </c>
      <c r="J190" s="2">
        <v>65</v>
      </c>
      <c r="L190" s="6"/>
      <c r="M190" s="6"/>
      <c r="N190" s="2">
        <v>108</v>
      </c>
      <c r="O190" s="2">
        <v>175</v>
      </c>
      <c r="P190" s="2">
        <v>75</v>
      </c>
      <c r="R190" s="6"/>
    </row>
    <row r="191" spans="1:18" x14ac:dyDescent="0.3">
      <c r="A191" s="2">
        <v>190</v>
      </c>
      <c r="B191" s="2">
        <v>167</v>
      </c>
      <c r="C191" s="2">
        <v>67</v>
      </c>
      <c r="H191" s="2">
        <v>107</v>
      </c>
      <c r="I191" s="2">
        <v>180</v>
      </c>
      <c r="J191" s="2">
        <v>75</v>
      </c>
      <c r="L191" s="6"/>
      <c r="M191" s="6"/>
      <c r="N191" s="2">
        <v>121</v>
      </c>
      <c r="O191" s="2">
        <v>170</v>
      </c>
      <c r="P191" s="2">
        <v>75</v>
      </c>
      <c r="R191" s="6"/>
    </row>
    <row r="192" spans="1:18" x14ac:dyDescent="0.3">
      <c r="A192" s="2">
        <v>191</v>
      </c>
      <c r="B192" s="2">
        <v>168</v>
      </c>
      <c r="C192" s="2">
        <v>67</v>
      </c>
      <c r="H192" s="2">
        <v>116</v>
      </c>
      <c r="I192" s="2">
        <v>180</v>
      </c>
      <c r="J192" s="2">
        <v>65</v>
      </c>
      <c r="L192" s="6"/>
      <c r="M192" s="6"/>
      <c r="N192" s="2">
        <v>4</v>
      </c>
      <c r="O192" s="2">
        <v>182</v>
      </c>
      <c r="P192" s="2">
        <v>76</v>
      </c>
      <c r="R192" s="6"/>
    </row>
    <row r="193" spans="1:18" x14ac:dyDescent="0.3">
      <c r="A193" s="2">
        <v>192</v>
      </c>
      <c r="B193" s="2">
        <v>169</v>
      </c>
      <c r="C193" s="2">
        <v>66</v>
      </c>
      <c r="H193" s="2">
        <v>8</v>
      </c>
      <c r="I193" s="2">
        <v>181</v>
      </c>
      <c r="J193" s="2">
        <v>68</v>
      </c>
      <c r="L193" s="6"/>
      <c r="M193" s="6"/>
      <c r="N193" s="2">
        <v>7</v>
      </c>
      <c r="O193" s="2">
        <v>170</v>
      </c>
      <c r="P193" s="2">
        <v>76</v>
      </c>
      <c r="R193" s="6"/>
    </row>
    <row r="194" spans="1:18" x14ac:dyDescent="0.3">
      <c r="A194" s="2">
        <v>193</v>
      </c>
      <c r="B194" s="2">
        <v>165</v>
      </c>
      <c r="C194" s="2">
        <v>63</v>
      </c>
      <c r="H194" s="2">
        <v>64</v>
      </c>
      <c r="I194" s="2">
        <v>181</v>
      </c>
      <c r="J194" s="2">
        <v>77</v>
      </c>
      <c r="L194" s="6"/>
      <c r="M194" s="6"/>
      <c r="N194" s="2">
        <v>64</v>
      </c>
      <c r="O194" s="2">
        <v>181</v>
      </c>
      <c r="P194" s="2">
        <v>77</v>
      </c>
      <c r="R194" s="6"/>
    </row>
    <row r="195" spans="1:18" x14ac:dyDescent="0.3">
      <c r="A195" s="2">
        <v>194</v>
      </c>
      <c r="B195" s="2">
        <v>174</v>
      </c>
      <c r="C195" s="2">
        <v>74</v>
      </c>
      <c r="H195" s="2">
        <v>4</v>
      </c>
      <c r="I195" s="2">
        <v>182</v>
      </c>
      <c r="J195" s="2">
        <v>76</v>
      </c>
      <c r="L195" s="6"/>
      <c r="M195" s="6"/>
      <c r="N195" s="2">
        <v>118</v>
      </c>
      <c r="O195" s="2">
        <v>176</v>
      </c>
      <c r="P195" s="2">
        <v>77</v>
      </c>
      <c r="R195" s="6"/>
    </row>
    <row r="196" spans="1:18" x14ac:dyDescent="0.3">
      <c r="A196" s="2">
        <v>195</v>
      </c>
      <c r="B196" s="2">
        <v>171</v>
      </c>
      <c r="C196" s="2">
        <v>69</v>
      </c>
      <c r="H196" s="2">
        <v>49</v>
      </c>
      <c r="I196" s="2">
        <v>183</v>
      </c>
      <c r="J196" s="2">
        <v>73</v>
      </c>
      <c r="L196" s="6"/>
      <c r="M196" s="6"/>
      <c r="N196" s="2">
        <v>14</v>
      </c>
      <c r="O196" s="2">
        <v>176</v>
      </c>
      <c r="P196" s="2">
        <v>78</v>
      </c>
      <c r="R196" s="6"/>
    </row>
    <row r="197" spans="1:18" x14ac:dyDescent="0.3">
      <c r="A197" s="2">
        <v>196</v>
      </c>
      <c r="B197" s="2">
        <v>168</v>
      </c>
      <c r="C197" s="2">
        <v>70</v>
      </c>
      <c r="H197" s="2">
        <v>28</v>
      </c>
      <c r="I197" s="2">
        <v>184</v>
      </c>
      <c r="J197" s="2">
        <v>72</v>
      </c>
      <c r="L197" s="6"/>
      <c r="M197" s="6"/>
      <c r="N197" s="2">
        <v>67</v>
      </c>
      <c r="O197" s="2">
        <v>172</v>
      </c>
      <c r="P197" s="2">
        <v>78</v>
      </c>
      <c r="R197" s="6"/>
    </row>
    <row r="198" spans="1:18" x14ac:dyDescent="0.3">
      <c r="A198" s="2">
        <v>197</v>
      </c>
      <c r="B198" s="2">
        <v>171</v>
      </c>
      <c r="C198" s="2">
        <v>65</v>
      </c>
      <c r="H198" s="2">
        <v>134</v>
      </c>
      <c r="I198" s="2">
        <v>184</v>
      </c>
      <c r="J198" s="2">
        <v>68</v>
      </c>
      <c r="L198" s="6"/>
      <c r="M198" s="6"/>
      <c r="N198" s="2">
        <v>185</v>
      </c>
      <c r="O198" s="2">
        <v>166</v>
      </c>
      <c r="P198" s="2">
        <v>78</v>
      </c>
      <c r="R198" s="6"/>
    </row>
    <row r="199" spans="1:18" x14ac:dyDescent="0.3">
      <c r="A199" s="2">
        <v>198</v>
      </c>
      <c r="B199" s="2">
        <v>171</v>
      </c>
      <c r="C199" s="2">
        <v>69</v>
      </c>
      <c r="H199" s="2">
        <v>149</v>
      </c>
      <c r="I199" s="2">
        <v>185</v>
      </c>
      <c r="J199" s="2">
        <v>82</v>
      </c>
      <c r="L199" s="6"/>
      <c r="M199" s="6"/>
      <c r="N199" s="2">
        <v>160</v>
      </c>
      <c r="O199" s="2">
        <v>174</v>
      </c>
      <c r="P199" s="2">
        <v>79</v>
      </c>
      <c r="R199" s="6"/>
    </row>
    <row r="200" spans="1:18" x14ac:dyDescent="0.3">
      <c r="A200" s="2">
        <v>199</v>
      </c>
      <c r="B200" s="2">
        <v>172</v>
      </c>
      <c r="C200" s="2">
        <v>69</v>
      </c>
      <c r="H200" s="2">
        <v>140</v>
      </c>
      <c r="I200" s="2">
        <v>186</v>
      </c>
      <c r="J200" s="2">
        <v>72</v>
      </c>
      <c r="L200" s="6"/>
      <c r="M200" s="6"/>
      <c r="N200" s="2">
        <v>33</v>
      </c>
      <c r="O200" s="2">
        <v>176</v>
      </c>
      <c r="P200" s="2">
        <v>81</v>
      </c>
      <c r="R200" s="6"/>
    </row>
    <row r="201" spans="1:18" x14ac:dyDescent="0.3">
      <c r="A201" s="2">
        <v>200</v>
      </c>
      <c r="B201" s="2">
        <v>167</v>
      </c>
      <c r="C201" s="2">
        <v>63</v>
      </c>
      <c r="H201" s="2">
        <v>36</v>
      </c>
      <c r="I201" s="2">
        <v>188</v>
      </c>
      <c r="J201" s="2">
        <v>75</v>
      </c>
      <c r="L201" s="6"/>
      <c r="M201" s="6"/>
      <c r="N201" s="2">
        <v>149</v>
      </c>
      <c r="O201" s="2">
        <v>185</v>
      </c>
      <c r="P201" s="2">
        <v>82</v>
      </c>
      <c r="R201" s="6"/>
    </row>
  </sheetData>
  <sortState xmlns:xlrd2="http://schemas.microsoft.com/office/spreadsheetml/2017/richdata2" ref="L2:N201">
    <sortCondition ref="N2:N2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740A-9135-4A08-8FC3-7200B58AFF52}">
  <dimension ref="A1:O23"/>
  <sheetViews>
    <sheetView workbookViewId="0">
      <selection activeCell="H34" sqref="H34"/>
    </sheetView>
  </sheetViews>
  <sheetFormatPr defaultRowHeight="14.4" x14ac:dyDescent="0.3"/>
  <cols>
    <col min="1" max="1" width="23.44140625" style="14" customWidth="1"/>
    <col min="2" max="2" width="8.88671875" style="14"/>
    <col min="3" max="3" width="10.5546875" style="14" customWidth="1"/>
    <col min="4" max="8" width="8.88671875" style="14"/>
    <col min="9" max="9" width="18.33203125" style="14" customWidth="1"/>
    <col min="10" max="16384" width="8.88671875" style="14"/>
  </cols>
  <sheetData>
    <row r="1" spans="1:15" x14ac:dyDescent="0.3">
      <c r="A1" s="11" t="s">
        <v>9</v>
      </c>
      <c r="B1" s="11">
        <v>10</v>
      </c>
    </row>
    <row r="3" spans="1:15" ht="15" thickBot="1" x14ac:dyDescent="0.35"/>
    <row r="4" spans="1:15" x14ac:dyDescent="0.3">
      <c r="A4" s="94" t="s">
        <v>1</v>
      </c>
      <c r="B4" s="95"/>
      <c r="C4" s="95"/>
      <c r="D4" s="95"/>
      <c r="E4" s="95"/>
      <c r="F4" s="95"/>
      <c r="G4" s="96"/>
      <c r="I4" s="94" t="s">
        <v>2</v>
      </c>
      <c r="J4" s="95"/>
      <c r="K4" s="95"/>
      <c r="L4" s="95"/>
      <c r="M4" s="95"/>
      <c r="N4" s="95"/>
      <c r="O4" s="96"/>
    </row>
    <row r="5" spans="1:15" x14ac:dyDescent="0.3">
      <c r="A5" s="27" t="s">
        <v>25</v>
      </c>
      <c r="B5" s="14" t="s">
        <v>10</v>
      </c>
      <c r="C5" s="14">
        <f>MAX(Рост)</f>
        <v>188</v>
      </c>
      <c r="G5" s="20"/>
      <c r="I5" s="27" t="s">
        <v>25</v>
      </c>
      <c r="J5" s="14" t="s">
        <v>10</v>
      </c>
      <c r="K5" s="14">
        <f>MAX(Вес)</f>
        <v>82</v>
      </c>
      <c r="O5" s="20"/>
    </row>
    <row r="6" spans="1:15" x14ac:dyDescent="0.3">
      <c r="A6" s="27" t="s">
        <v>26</v>
      </c>
      <c r="B6" s="14" t="s">
        <v>11</v>
      </c>
      <c r="C6" s="14">
        <f>MIN(Рост)</f>
        <v>156</v>
      </c>
      <c r="G6" s="20"/>
      <c r="I6" s="27" t="s">
        <v>26</v>
      </c>
      <c r="J6" s="14" t="s">
        <v>11</v>
      </c>
      <c r="K6" s="14">
        <f>MIN(Вес)</f>
        <v>51</v>
      </c>
      <c r="O6" s="20"/>
    </row>
    <row r="7" spans="1:15" x14ac:dyDescent="0.3">
      <c r="A7" s="27" t="s">
        <v>15</v>
      </c>
      <c r="B7" s="14" t="s">
        <v>12</v>
      </c>
      <c r="C7" s="14">
        <f>C5-C6</f>
        <v>32</v>
      </c>
      <c r="G7" s="20"/>
      <c r="I7" s="27" t="s">
        <v>15</v>
      </c>
      <c r="J7" s="14" t="s">
        <v>12</v>
      </c>
      <c r="K7" s="14">
        <f>K5-K6</f>
        <v>31</v>
      </c>
      <c r="O7" s="20"/>
    </row>
    <row r="8" spans="1:15" x14ac:dyDescent="0.3">
      <c r="A8" s="27" t="s">
        <v>16</v>
      </c>
      <c r="B8" s="14" t="s">
        <v>13</v>
      </c>
      <c r="C8" s="14">
        <f>ROUNDUP(C7/количество_интервалов,2)</f>
        <v>3.2</v>
      </c>
      <c r="G8" s="20"/>
      <c r="I8" s="27" t="s">
        <v>16</v>
      </c>
      <c r="J8" s="14" t="s">
        <v>13</v>
      </c>
      <c r="K8" s="14">
        <f>ROUNDUP(K7/количество_интервалов,2)</f>
        <v>3.1</v>
      </c>
      <c r="O8" s="20"/>
    </row>
    <row r="9" spans="1:15" x14ac:dyDescent="0.3">
      <c r="A9" s="27" t="s">
        <v>17</v>
      </c>
      <c r="B9" s="14" t="s">
        <v>14</v>
      </c>
      <c r="C9" s="14">
        <f>Мощность</f>
        <v>200</v>
      </c>
      <c r="G9" s="20"/>
      <c r="I9" s="27" t="s">
        <v>17</v>
      </c>
      <c r="J9" s="14" t="s">
        <v>14</v>
      </c>
      <c r="K9" s="14">
        <f>Мощность</f>
        <v>200</v>
      </c>
      <c r="O9" s="20"/>
    </row>
    <row r="10" spans="1:15" x14ac:dyDescent="0.3">
      <c r="A10" s="19"/>
      <c r="G10" s="20"/>
      <c r="I10" s="19"/>
      <c r="O10" s="20"/>
    </row>
    <row r="11" spans="1:15" x14ac:dyDescent="0.3">
      <c r="A11" s="21" t="s">
        <v>18</v>
      </c>
      <c r="B11" s="15" t="s">
        <v>19</v>
      </c>
      <c r="C11" s="15" t="s">
        <v>20</v>
      </c>
      <c r="D11" s="15" t="s">
        <v>21</v>
      </c>
      <c r="E11" s="16" t="s">
        <v>22</v>
      </c>
      <c r="F11" s="16" t="s">
        <v>23</v>
      </c>
      <c r="G11" s="22" t="s">
        <v>24</v>
      </c>
      <c r="I11" s="21" t="s">
        <v>18</v>
      </c>
      <c r="J11" s="15" t="s">
        <v>19</v>
      </c>
      <c r="K11" s="15" t="s">
        <v>20</v>
      </c>
      <c r="L11" s="15" t="s">
        <v>21</v>
      </c>
      <c r="M11" s="16" t="s">
        <v>22</v>
      </c>
      <c r="N11" s="16" t="s">
        <v>23</v>
      </c>
      <c r="O11" s="22" t="s">
        <v>24</v>
      </c>
    </row>
    <row r="12" spans="1:15" x14ac:dyDescent="0.3">
      <c r="A12" s="25">
        <v>1</v>
      </c>
      <c r="B12" s="24">
        <f>C6</f>
        <v>156</v>
      </c>
      <c r="C12" s="24">
        <f>B12+$C$8</f>
        <v>159.19999999999999</v>
      </c>
      <c r="D12" s="24" cm="1">
        <f t="array" ref="D12:D22">FREQUENCY(Рост_ранжир,C12:C21)</f>
        <v>6</v>
      </c>
      <c r="E12" s="24">
        <f t="shared" ref="E12:E21" si="0">D12/Мощность</f>
        <v>0.03</v>
      </c>
      <c r="F12" s="24">
        <f>(B12+C12)/2</f>
        <v>157.6</v>
      </c>
      <c r="G12" s="26">
        <f>E12</f>
        <v>0.03</v>
      </c>
      <c r="I12" s="25">
        <v>1</v>
      </c>
      <c r="J12" s="24">
        <f>K6</f>
        <v>51</v>
      </c>
      <c r="K12" s="24">
        <f>J12+$K$8</f>
        <v>54.1</v>
      </c>
      <c r="L12" s="24" cm="1">
        <f t="array" ref="L12:L22">FREQUENCY(Вес_ранжир,K12:K21)</f>
        <v>9</v>
      </c>
      <c r="M12" s="24">
        <f t="shared" ref="M12:M21" si="1">L12/Мощность</f>
        <v>4.4999999999999998E-2</v>
      </c>
      <c r="N12" s="24">
        <f>(J12+K12)/2</f>
        <v>52.55</v>
      </c>
      <c r="O12" s="26">
        <f>M12</f>
        <v>4.4999999999999998E-2</v>
      </c>
    </row>
    <row r="13" spans="1:15" x14ac:dyDescent="0.3">
      <c r="A13" s="25">
        <v>2</v>
      </c>
      <c r="B13" s="24">
        <f>C12</f>
        <v>159.19999999999999</v>
      </c>
      <c r="C13" s="24">
        <f>B13+$C$8</f>
        <v>162.39999999999998</v>
      </c>
      <c r="D13" s="24">
        <v>20</v>
      </c>
      <c r="E13" s="24">
        <f t="shared" si="0"/>
        <v>0.1</v>
      </c>
      <c r="F13" s="24">
        <f t="shared" ref="F13:F20" si="2">(B13+C13)/2</f>
        <v>160.79999999999998</v>
      </c>
      <c r="G13" s="26">
        <f>G12+E13</f>
        <v>0.13</v>
      </c>
      <c r="I13" s="25">
        <v>2</v>
      </c>
      <c r="J13" s="24">
        <f>K12</f>
        <v>54.1</v>
      </c>
      <c r="K13" s="24">
        <f t="shared" ref="K13:K20" si="3">J13+$K$8</f>
        <v>57.2</v>
      </c>
      <c r="L13" s="24">
        <v>16</v>
      </c>
      <c r="M13" s="24">
        <f t="shared" si="1"/>
        <v>0.08</v>
      </c>
      <c r="N13" s="24">
        <f t="shared" ref="N13:N20" si="4">(J13+K13)/2</f>
        <v>55.650000000000006</v>
      </c>
      <c r="O13" s="26">
        <f>O12+M13</f>
        <v>0.125</v>
      </c>
    </row>
    <row r="14" spans="1:15" x14ac:dyDescent="0.3">
      <c r="A14" s="25">
        <v>3</v>
      </c>
      <c r="B14" s="24">
        <f>C13</f>
        <v>162.39999999999998</v>
      </c>
      <c r="C14" s="24">
        <f t="shared" ref="C14:C20" si="5">B14+$C$8</f>
        <v>165.59999999999997</v>
      </c>
      <c r="D14" s="24">
        <v>32</v>
      </c>
      <c r="E14" s="24">
        <f t="shared" si="0"/>
        <v>0.16</v>
      </c>
      <c r="F14" s="24">
        <f t="shared" si="2"/>
        <v>163.99999999999997</v>
      </c>
      <c r="G14" s="26">
        <f t="shared" ref="G14:G21" si="6">G13+E14</f>
        <v>0.29000000000000004</v>
      </c>
      <c r="I14" s="25">
        <v>3</v>
      </c>
      <c r="J14" s="24">
        <f>K13</f>
        <v>57.2</v>
      </c>
      <c r="K14" s="24">
        <f t="shared" si="3"/>
        <v>60.300000000000004</v>
      </c>
      <c r="L14" s="24">
        <v>18</v>
      </c>
      <c r="M14" s="24">
        <f t="shared" si="1"/>
        <v>0.09</v>
      </c>
      <c r="N14" s="24">
        <f t="shared" si="4"/>
        <v>58.75</v>
      </c>
      <c r="O14" s="26">
        <f t="shared" ref="O14:O21" si="7">O13+M14</f>
        <v>0.215</v>
      </c>
    </row>
    <row r="15" spans="1:15" x14ac:dyDescent="0.3">
      <c r="A15" s="25">
        <v>4</v>
      </c>
      <c r="B15" s="24">
        <f t="shared" ref="B15:B21" si="8">C14</f>
        <v>165.59999999999997</v>
      </c>
      <c r="C15" s="24">
        <f t="shared" si="5"/>
        <v>168.79999999999995</v>
      </c>
      <c r="D15" s="24">
        <v>33</v>
      </c>
      <c r="E15" s="24">
        <f t="shared" si="0"/>
        <v>0.16500000000000001</v>
      </c>
      <c r="F15" s="24">
        <f t="shared" si="2"/>
        <v>167.19999999999996</v>
      </c>
      <c r="G15" s="26">
        <f t="shared" si="6"/>
        <v>0.45500000000000007</v>
      </c>
      <c r="I15" s="25">
        <v>4</v>
      </c>
      <c r="J15" s="24">
        <f t="shared" ref="J15:J21" si="9">K14</f>
        <v>60.300000000000004</v>
      </c>
      <c r="K15" s="24">
        <f t="shared" si="3"/>
        <v>63.400000000000006</v>
      </c>
      <c r="L15" s="24">
        <v>36</v>
      </c>
      <c r="M15" s="24">
        <f t="shared" si="1"/>
        <v>0.18</v>
      </c>
      <c r="N15" s="24">
        <f t="shared" si="4"/>
        <v>61.850000000000009</v>
      </c>
      <c r="O15" s="26">
        <f t="shared" si="7"/>
        <v>0.39500000000000002</v>
      </c>
    </row>
    <row r="16" spans="1:15" x14ac:dyDescent="0.3">
      <c r="A16" s="25">
        <v>5</v>
      </c>
      <c r="B16" s="24">
        <f t="shared" si="8"/>
        <v>168.79999999999995</v>
      </c>
      <c r="C16" s="24">
        <f t="shared" si="5"/>
        <v>171.99999999999994</v>
      </c>
      <c r="D16" s="24">
        <v>41</v>
      </c>
      <c r="E16" s="24">
        <f t="shared" si="0"/>
        <v>0.20499999999999999</v>
      </c>
      <c r="F16" s="24">
        <f t="shared" si="2"/>
        <v>170.39999999999995</v>
      </c>
      <c r="G16" s="26">
        <f t="shared" si="6"/>
        <v>0.66</v>
      </c>
      <c r="I16" s="25">
        <v>5</v>
      </c>
      <c r="J16" s="24">
        <f t="shared" si="9"/>
        <v>63.400000000000006</v>
      </c>
      <c r="K16" s="24">
        <f t="shared" si="3"/>
        <v>66.5</v>
      </c>
      <c r="L16" s="24">
        <v>38</v>
      </c>
      <c r="M16" s="24">
        <f t="shared" si="1"/>
        <v>0.19</v>
      </c>
      <c r="N16" s="24">
        <f t="shared" si="4"/>
        <v>64.95</v>
      </c>
      <c r="O16" s="26">
        <f t="shared" si="7"/>
        <v>0.58499999999999996</v>
      </c>
    </row>
    <row r="17" spans="1:15" x14ac:dyDescent="0.3">
      <c r="A17" s="25">
        <v>6</v>
      </c>
      <c r="B17" s="24">
        <f t="shared" si="8"/>
        <v>171.99999999999994</v>
      </c>
      <c r="C17" s="24">
        <f t="shared" si="5"/>
        <v>175.19999999999993</v>
      </c>
      <c r="D17" s="24">
        <v>36</v>
      </c>
      <c r="E17" s="24">
        <f t="shared" si="0"/>
        <v>0.18</v>
      </c>
      <c r="F17" s="24">
        <f t="shared" si="2"/>
        <v>173.59999999999994</v>
      </c>
      <c r="G17" s="26">
        <f t="shared" si="6"/>
        <v>0.84000000000000008</v>
      </c>
      <c r="I17" s="25">
        <v>6</v>
      </c>
      <c r="J17" s="24">
        <f t="shared" si="9"/>
        <v>66.5</v>
      </c>
      <c r="K17" s="24">
        <f t="shared" si="3"/>
        <v>69.599999999999994</v>
      </c>
      <c r="L17" s="24">
        <v>38</v>
      </c>
      <c r="M17" s="24">
        <f t="shared" si="1"/>
        <v>0.19</v>
      </c>
      <c r="N17" s="24">
        <f t="shared" si="4"/>
        <v>68.05</v>
      </c>
      <c r="O17" s="26">
        <f t="shared" si="7"/>
        <v>0.77499999999999991</v>
      </c>
    </row>
    <row r="18" spans="1:15" x14ac:dyDescent="0.3">
      <c r="A18" s="25">
        <v>7</v>
      </c>
      <c r="B18" s="24">
        <f t="shared" si="8"/>
        <v>175.19999999999993</v>
      </c>
      <c r="C18" s="24">
        <f t="shared" si="5"/>
        <v>178.39999999999992</v>
      </c>
      <c r="D18" s="24">
        <v>19</v>
      </c>
      <c r="E18" s="24">
        <f t="shared" si="0"/>
        <v>9.5000000000000001E-2</v>
      </c>
      <c r="F18" s="24">
        <f t="shared" si="2"/>
        <v>176.79999999999993</v>
      </c>
      <c r="G18" s="26">
        <f t="shared" si="6"/>
        <v>0.93500000000000005</v>
      </c>
      <c r="I18" s="25">
        <v>7</v>
      </c>
      <c r="J18" s="24">
        <f t="shared" si="9"/>
        <v>69.599999999999994</v>
      </c>
      <c r="K18" s="24">
        <f t="shared" si="3"/>
        <v>72.699999999999989</v>
      </c>
      <c r="L18" s="24">
        <v>19</v>
      </c>
      <c r="M18" s="24">
        <f t="shared" si="1"/>
        <v>9.5000000000000001E-2</v>
      </c>
      <c r="N18" s="24">
        <f t="shared" si="4"/>
        <v>71.149999999999991</v>
      </c>
      <c r="O18" s="26">
        <f t="shared" si="7"/>
        <v>0.86999999999999988</v>
      </c>
    </row>
    <row r="19" spans="1:15" x14ac:dyDescent="0.3">
      <c r="A19" s="25">
        <v>8</v>
      </c>
      <c r="B19" s="24">
        <f t="shared" si="8"/>
        <v>178.39999999999992</v>
      </c>
      <c r="C19" s="24">
        <f t="shared" si="5"/>
        <v>181.59999999999991</v>
      </c>
      <c r="D19" s="24">
        <v>6</v>
      </c>
      <c r="E19" s="24">
        <f t="shared" si="0"/>
        <v>0.03</v>
      </c>
      <c r="F19" s="24">
        <f t="shared" si="2"/>
        <v>179.99999999999991</v>
      </c>
      <c r="G19" s="26">
        <f t="shared" si="6"/>
        <v>0.96500000000000008</v>
      </c>
      <c r="I19" s="25">
        <v>8</v>
      </c>
      <c r="J19" s="24">
        <f t="shared" si="9"/>
        <v>72.699999999999989</v>
      </c>
      <c r="K19" s="24">
        <f t="shared" si="3"/>
        <v>75.799999999999983</v>
      </c>
      <c r="L19" s="24">
        <v>16</v>
      </c>
      <c r="M19" s="24">
        <f t="shared" si="1"/>
        <v>0.08</v>
      </c>
      <c r="N19" s="24">
        <f t="shared" si="4"/>
        <v>74.249999999999986</v>
      </c>
      <c r="O19" s="26">
        <f t="shared" si="7"/>
        <v>0.94999999999999984</v>
      </c>
    </row>
    <row r="20" spans="1:15" x14ac:dyDescent="0.3">
      <c r="A20" s="25">
        <v>9</v>
      </c>
      <c r="B20" s="24">
        <f t="shared" si="8"/>
        <v>181.59999999999991</v>
      </c>
      <c r="C20" s="24">
        <f t="shared" si="5"/>
        <v>184.7999999999999</v>
      </c>
      <c r="D20" s="24">
        <v>4</v>
      </c>
      <c r="E20" s="24">
        <f t="shared" si="0"/>
        <v>0.02</v>
      </c>
      <c r="F20" s="24">
        <f t="shared" si="2"/>
        <v>183.1999999999999</v>
      </c>
      <c r="G20" s="26">
        <f t="shared" si="6"/>
        <v>0.9850000000000001</v>
      </c>
      <c r="I20" s="25">
        <v>9</v>
      </c>
      <c r="J20" s="24">
        <f t="shared" si="9"/>
        <v>75.799999999999983</v>
      </c>
      <c r="K20" s="24">
        <f t="shared" si="3"/>
        <v>78.899999999999977</v>
      </c>
      <c r="L20" s="24">
        <v>7</v>
      </c>
      <c r="M20" s="24">
        <f t="shared" si="1"/>
        <v>3.5000000000000003E-2</v>
      </c>
      <c r="N20" s="24">
        <f t="shared" si="4"/>
        <v>77.34999999999998</v>
      </c>
      <c r="O20" s="26">
        <f t="shared" si="7"/>
        <v>0.98499999999999988</v>
      </c>
    </row>
    <row r="21" spans="1:15" x14ac:dyDescent="0.3">
      <c r="A21" s="25">
        <v>10</v>
      </c>
      <c r="B21" s="24">
        <f t="shared" si="8"/>
        <v>184.7999999999999</v>
      </c>
      <c r="C21" s="24">
        <f>B21+$C$8+0.1</f>
        <v>188.09999999999988</v>
      </c>
      <c r="D21" s="24">
        <v>3</v>
      </c>
      <c r="E21" s="24">
        <f t="shared" si="0"/>
        <v>1.4999999999999999E-2</v>
      </c>
      <c r="F21" s="24">
        <f>(B21+C21-0.1)/2</f>
        <v>186.39999999999986</v>
      </c>
      <c r="G21" s="26">
        <f t="shared" si="6"/>
        <v>1</v>
      </c>
      <c r="I21" s="25">
        <v>10</v>
      </c>
      <c r="J21" s="24">
        <f t="shared" si="9"/>
        <v>78.899999999999977</v>
      </c>
      <c r="K21" s="24">
        <f>J21+$K$8+0.1</f>
        <v>82.099999999999966</v>
      </c>
      <c r="L21" s="24">
        <v>3</v>
      </c>
      <c r="M21" s="24">
        <f t="shared" si="1"/>
        <v>1.4999999999999999E-2</v>
      </c>
      <c r="N21" s="24">
        <f>(J21+K21-0.1)/2</f>
        <v>80.449999999999974</v>
      </c>
      <c r="O21" s="26">
        <f t="shared" si="7"/>
        <v>0.99999999999999989</v>
      </c>
    </row>
    <row r="22" spans="1:15" ht="15" thickBot="1" x14ac:dyDescent="0.35">
      <c r="A22" s="19"/>
      <c r="D22" s="14">
        <v>0</v>
      </c>
      <c r="G22" s="20"/>
      <c r="I22" s="19"/>
      <c r="L22" s="14">
        <v>0</v>
      </c>
      <c r="O22" s="20"/>
    </row>
    <row r="23" spans="1:15" ht="15" thickBot="1" x14ac:dyDescent="0.35">
      <c r="A23" s="28" t="s">
        <v>27</v>
      </c>
      <c r="B23" s="17"/>
      <c r="C23" s="17"/>
      <c r="D23" s="17">
        <f>SUM(D12:D21)</f>
        <v>200</v>
      </c>
      <c r="E23" s="17">
        <f>SUM(E12:E21)</f>
        <v>1</v>
      </c>
      <c r="F23" s="17"/>
      <c r="G23" s="18"/>
      <c r="I23" s="28" t="s">
        <v>27</v>
      </c>
      <c r="J23" s="17"/>
      <c r="K23" s="17"/>
      <c r="L23" s="17">
        <f>SUM(L12:L21)</f>
        <v>200</v>
      </c>
      <c r="M23" s="17">
        <f>SUM(M12:M21)</f>
        <v>0.99999999999999989</v>
      </c>
      <c r="N23" s="17"/>
      <c r="O23" s="18"/>
    </row>
  </sheetData>
  <mergeCells count="2">
    <mergeCell ref="A4:G4"/>
    <mergeCell ref="I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4BD2-13F6-456A-A59C-1F5596F84487}">
  <dimension ref="A1"/>
  <sheetViews>
    <sheetView workbookViewId="0">
      <selection activeCell="N26" sqref="N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4623-0697-4BC9-9B49-81E2DCFBB041}">
  <dimension ref="A1:O32"/>
  <sheetViews>
    <sheetView topLeftCell="A4" workbookViewId="0">
      <selection activeCell="D42" sqref="D42"/>
    </sheetView>
  </sheetViews>
  <sheetFormatPr defaultRowHeight="14.4" x14ac:dyDescent="0.3"/>
  <cols>
    <col min="1" max="1" width="31" style="14" customWidth="1"/>
    <col min="2" max="2" width="10.5546875" style="14" bestFit="1" customWidth="1"/>
    <col min="3" max="3" width="10.5546875" style="14" customWidth="1"/>
    <col min="4" max="6" width="8.88671875" style="14"/>
    <col min="7" max="7" width="10.5546875" style="14" customWidth="1"/>
    <col min="8" max="8" width="8.88671875" style="14"/>
    <col min="9" max="9" width="29.88671875" style="14" customWidth="1"/>
    <col min="10" max="14" width="8.88671875" style="14"/>
    <col min="15" max="15" width="13" style="14" customWidth="1"/>
    <col min="16" max="16384" width="8.88671875" style="14"/>
  </cols>
  <sheetData>
    <row r="1" spans="1:15" x14ac:dyDescent="0.3">
      <c r="A1" s="11" t="s">
        <v>9</v>
      </c>
      <c r="B1" s="11">
        <v>10</v>
      </c>
    </row>
    <row r="3" spans="1:15" ht="15" thickBot="1" x14ac:dyDescent="0.35"/>
    <row r="4" spans="1:15" x14ac:dyDescent="0.3">
      <c r="A4" s="94" t="s">
        <v>1</v>
      </c>
      <c r="B4" s="95"/>
      <c r="C4" s="95"/>
      <c r="D4" s="95"/>
      <c r="E4" s="95"/>
      <c r="F4" s="95"/>
      <c r="G4" s="96"/>
      <c r="I4" s="94" t="s">
        <v>2</v>
      </c>
      <c r="J4" s="95"/>
      <c r="K4" s="95"/>
      <c r="L4" s="95"/>
      <c r="M4" s="95"/>
      <c r="N4" s="95"/>
      <c r="O4" s="96"/>
    </row>
    <row r="5" spans="1:15" x14ac:dyDescent="0.3">
      <c r="A5" s="27" t="s">
        <v>25</v>
      </c>
      <c r="B5" s="14" t="s">
        <v>10</v>
      </c>
      <c r="C5" s="14">
        <f>MAX(Рост)</f>
        <v>188</v>
      </c>
      <c r="G5" s="20"/>
      <c r="I5" s="27" t="s">
        <v>25</v>
      </c>
      <c r="J5" s="14" t="s">
        <v>10</v>
      </c>
      <c r="K5" s="14">
        <f>MAX(Вес)</f>
        <v>82</v>
      </c>
      <c r="O5" s="20"/>
    </row>
    <row r="6" spans="1:15" x14ac:dyDescent="0.3">
      <c r="A6" s="27" t="s">
        <v>26</v>
      </c>
      <c r="B6" s="14" t="s">
        <v>11</v>
      </c>
      <c r="C6" s="14">
        <f>MIN(Рост)</f>
        <v>156</v>
      </c>
      <c r="G6" s="20"/>
      <c r="I6" s="27" t="s">
        <v>26</v>
      </c>
      <c r="J6" s="14" t="s">
        <v>11</v>
      </c>
      <c r="K6" s="14">
        <f>MIN(Вес)</f>
        <v>51</v>
      </c>
      <c r="O6" s="20"/>
    </row>
    <row r="7" spans="1:15" x14ac:dyDescent="0.3">
      <c r="A7" s="27" t="s">
        <v>15</v>
      </c>
      <c r="B7" s="14" t="s">
        <v>12</v>
      </c>
      <c r="C7" s="14">
        <f>C5-C6</f>
        <v>32</v>
      </c>
      <c r="G7" s="20"/>
      <c r="I7" s="27" t="s">
        <v>15</v>
      </c>
      <c r="J7" s="14" t="s">
        <v>12</v>
      </c>
      <c r="K7" s="14">
        <f>K5-K6</f>
        <v>31</v>
      </c>
      <c r="O7" s="20"/>
    </row>
    <row r="8" spans="1:15" x14ac:dyDescent="0.3">
      <c r="A8" s="27" t="s">
        <v>16</v>
      </c>
      <c r="B8" s="14" t="s">
        <v>13</v>
      </c>
      <c r="C8" s="14">
        <f>ROUNDUP(C7/количество_интервалов,2)</f>
        <v>3.2</v>
      </c>
      <c r="G8" s="20"/>
      <c r="I8" s="27" t="s">
        <v>16</v>
      </c>
      <c r="J8" s="14" t="s">
        <v>13</v>
      </c>
      <c r="K8" s="14">
        <f>ROUNDUP(K7/количество_интервалов,2)</f>
        <v>3.1</v>
      </c>
      <c r="O8" s="20"/>
    </row>
    <row r="9" spans="1:15" x14ac:dyDescent="0.3">
      <c r="A9" s="27" t="s">
        <v>17</v>
      </c>
      <c r="B9" s="14" t="s">
        <v>14</v>
      </c>
      <c r="C9" s="14">
        <f>Мощность</f>
        <v>200</v>
      </c>
      <c r="G9" s="20"/>
      <c r="I9" s="27" t="s">
        <v>17</v>
      </c>
      <c r="J9" s="14" t="s">
        <v>14</v>
      </c>
      <c r="K9" s="14">
        <f>Мощность</f>
        <v>200</v>
      </c>
      <c r="O9" s="20"/>
    </row>
    <row r="10" spans="1:15" x14ac:dyDescent="0.3">
      <c r="A10" s="19"/>
      <c r="G10" s="20"/>
      <c r="I10" s="19"/>
      <c r="O10" s="20"/>
    </row>
    <row r="11" spans="1:15" x14ac:dyDescent="0.3">
      <c r="A11" s="21" t="s">
        <v>18</v>
      </c>
      <c r="B11" s="15" t="s">
        <v>21</v>
      </c>
      <c r="C11" s="16" t="s">
        <v>22</v>
      </c>
      <c r="D11" s="16" t="s">
        <v>23</v>
      </c>
      <c r="E11" s="23" t="s">
        <v>24</v>
      </c>
      <c r="F11" s="15" t="s">
        <v>28</v>
      </c>
      <c r="G11" s="32" t="s">
        <v>30</v>
      </c>
      <c r="I11" s="21" t="s">
        <v>18</v>
      </c>
      <c r="J11" s="15" t="s">
        <v>21</v>
      </c>
      <c r="K11" s="16" t="s">
        <v>22</v>
      </c>
      <c r="L11" s="16" t="s">
        <v>23</v>
      </c>
      <c r="M11" s="23" t="s">
        <v>24</v>
      </c>
      <c r="N11" s="15" t="s">
        <v>28</v>
      </c>
      <c r="O11" s="32" t="s">
        <v>30</v>
      </c>
    </row>
    <row r="12" spans="1:15" x14ac:dyDescent="0.3">
      <c r="A12" s="25">
        <v>1</v>
      </c>
      <c r="B12" s="24" cm="1">
        <f t="array" ref="B12:E21">'2'!D12:G21</f>
        <v>6</v>
      </c>
      <c r="C12" s="24">
        <v>0.03</v>
      </c>
      <c r="D12" s="24">
        <v>157.6</v>
      </c>
      <c r="E12" s="24">
        <v>0.03</v>
      </c>
      <c r="F12" s="24">
        <f>D12*B12</f>
        <v>945.59999999999991</v>
      </c>
      <c r="G12" s="26">
        <f>F12*D12</f>
        <v>149026.55999999997</v>
      </c>
      <c r="I12" s="25">
        <v>1</v>
      </c>
      <c r="J12" s="24" cm="1">
        <f t="array" ref="J12:M21">'2'!L12:O21</f>
        <v>9</v>
      </c>
      <c r="K12" s="24">
        <v>4.4999999999999998E-2</v>
      </c>
      <c r="L12" s="24">
        <v>52.55</v>
      </c>
      <c r="M12" s="24">
        <v>4.4999999999999998E-2</v>
      </c>
      <c r="N12" s="24">
        <f>L12*J12</f>
        <v>472.95</v>
      </c>
      <c r="O12" s="26">
        <f>N12*L12</f>
        <v>24853.522499999999</v>
      </c>
    </row>
    <row r="13" spans="1:15" x14ac:dyDescent="0.3">
      <c r="A13" s="25">
        <v>2</v>
      </c>
      <c r="B13" s="24">
        <v>20</v>
      </c>
      <c r="C13" s="24">
        <v>0.1</v>
      </c>
      <c r="D13" s="24">
        <v>160.79999999999998</v>
      </c>
      <c r="E13" s="24">
        <v>0.13</v>
      </c>
      <c r="F13" s="24">
        <f t="shared" ref="F13:F21" si="0">D13*B13</f>
        <v>3215.9999999999995</v>
      </c>
      <c r="G13" s="26">
        <f t="shared" ref="G13:G21" si="1">F13*D13</f>
        <v>517132.79999999987</v>
      </c>
      <c r="I13" s="25">
        <v>2</v>
      </c>
      <c r="J13" s="24">
        <v>16</v>
      </c>
      <c r="K13" s="24">
        <v>0.08</v>
      </c>
      <c r="L13" s="24">
        <v>55.650000000000006</v>
      </c>
      <c r="M13" s="24">
        <v>0.125</v>
      </c>
      <c r="N13" s="24">
        <f t="shared" ref="N13:N21" si="2">L13*J13</f>
        <v>890.40000000000009</v>
      </c>
      <c r="O13" s="26">
        <f t="shared" ref="O13:O21" si="3">N13*L13</f>
        <v>49550.760000000009</v>
      </c>
    </row>
    <row r="14" spans="1:15" x14ac:dyDescent="0.3">
      <c r="A14" s="25">
        <v>3</v>
      </c>
      <c r="B14" s="24">
        <v>32</v>
      </c>
      <c r="C14" s="24">
        <v>0.16</v>
      </c>
      <c r="D14" s="24">
        <v>163.99999999999997</v>
      </c>
      <c r="E14" s="24">
        <v>0.29000000000000004</v>
      </c>
      <c r="F14" s="24">
        <f t="shared" si="0"/>
        <v>5247.9999999999991</v>
      </c>
      <c r="G14" s="26">
        <f t="shared" si="1"/>
        <v>860671.99999999965</v>
      </c>
      <c r="I14" s="25">
        <v>3</v>
      </c>
      <c r="J14" s="24">
        <v>18</v>
      </c>
      <c r="K14" s="24">
        <v>0.09</v>
      </c>
      <c r="L14" s="24">
        <v>58.75</v>
      </c>
      <c r="M14" s="24">
        <v>0.215</v>
      </c>
      <c r="N14" s="24">
        <f>L14*J14</f>
        <v>1057.5</v>
      </c>
      <c r="O14" s="26">
        <f t="shared" si="3"/>
        <v>62128.125</v>
      </c>
    </row>
    <row r="15" spans="1:15" x14ac:dyDescent="0.3">
      <c r="A15" s="25">
        <v>4</v>
      </c>
      <c r="B15" s="24">
        <v>33</v>
      </c>
      <c r="C15" s="24">
        <v>0.16500000000000001</v>
      </c>
      <c r="D15" s="24">
        <v>167.19999999999996</v>
      </c>
      <c r="E15" s="24">
        <v>0.45500000000000007</v>
      </c>
      <c r="F15" s="24">
        <f t="shared" si="0"/>
        <v>5517.5999999999985</v>
      </c>
      <c r="G15" s="26">
        <f t="shared" si="1"/>
        <v>922542.71999999951</v>
      </c>
      <c r="I15" s="25">
        <v>4</v>
      </c>
      <c r="J15" s="24">
        <v>36</v>
      </c>
      <c r="K15" s="24">
        <v>0.18</v>
      </c>
      <c r="L15" s="24">
        <v>61.850000000000009</v>
      </c>
      <c r="M15" s="24">
        <v>0.39500000000000002</v>
      </c>
      <c r="N15" s="24">
        <f t="shared" si="2"/>
        <v>2226.6000000000004</v>
      </c>
      <c r="O15" s="26">
        <f t="shared" si="3"/>
        <v>137715.21000000005</v>
      </c>
    </row>
    <row r="16" spans="1:15" x14ac:dyDescent="0.3">
      <c r="A16" s="25">
        <v>5</v>
      </c>
      <c r="B16" s="24">
        <v>41</v>
      </c>
      <c r="C16" s="24">
        <v>0.20499999999999999</v>
      </c>
      <c r="D16" s="24">
        <v>170.39999999999995</v>
      </c>
      <c r="E16" s="24">
        <v>0.66</v>
      </c>
      <c r="F16" s="24">
        <f t="shared" si="0"/>
        <v>6986.3999999999978</v>
      </c>
      <c r="G16" s="26">
        <f t="shared" si="1"/>
        <v>1190482.5599999994</v>
      </c>
      <c r="I16" s="25">
        <v>5</v>
      </c>
      <c r="J16" s="24">
        <v>38</v>
      </c>
      <c r="K16" s="24">
        <v>0.19</v>
      </c>
      <c r="L16" s="24">
        <v>64.95</v>
      </c>
      <c r="M16" s="24">
        <v>0.58499999999999996</v>
      </c>
      <c r="N16" s="24">
        <f t="shared" si="2"/>
        <v>2468.1</v>
      </c>
      <c r="O16" s="26">
        <f t="shared" si="3"/>
        <v>160303.095</v>
      </c>
    </row>
    <row r="17" spans="1:15" x14ac:dyDescent="0.3">
      <c r="A17" s="25">
        <v>6</v>
      </c>
      <c r="B17" s="24">
        <v>36</v>
      </c>
      <c r="C17" s="24">
        <v>0.18</v>
      </c>
      <c r="D17" s="24">
        <v>173.59999999999994</v>
      </c>
      <c r="E17" s="24">
        <v>0.84000000000000008</v>
      </c>
      <c r="F17" s="24">
        <f t="shared" si="0"/>
        <v>6249.5999999999976</v>
      </c>
      <c r="G17" s="26">
        <f t="shared" si="1"/>
        <v>1084930.5599999991</v>
      </c>
      <c r="I17" s="25">
        <v>6</v>
      </c>
      <c r="J17" s="24">
        <v>38</v>
      </c>
      <c r="K17" s="24">
        <v>0.19</v>
      </c>
      <c r="L17" s="24">
        <v>68.05</v>
      </c>
      <c r="M17" s="24">
        <v>0.77499999999999991</v>
      </c>
      <c r="N17" s="24">
        <f t="shared" si="2"/>
        <v>2585.9</v>
      </c>
      <c r="O17" s="26">
        <f t="shared" si="3"/>
        <v>175970.495</v>
      </c>
    </row>
    <row r="18" spans="1:15" x14ac:dyDescent="0.3">
      <c r="A18" s="25">
        <v>7</v>
      </c>
      <c r="B18" s="24">
        <v>19</v>
      </c>
      <c r="C18" s="24">
        <v>9.5000000000000001E-2</v>
      </c>
      <c r="D18" s="24">
        <v>176.79999999999993</v>
      </c>
      <c r="E18" s="24">
        <v>0.93500000000000005</v>
      </c>
      <c r="F18" s="24">
        <f t="shared" si="0"/>
        <v>3359.1999999999985</v>
      </c>
      <c r="G18" s="26">
        <f t="shared" si="1"/>
        <v>593906.55999999947</v>
      </c>
      <c r="I18" s="25">
        <v>7</v>
      </c>
      <c r="J18" s="24">
        <v>19</v>
      </c>
      <c r="K18" s="24">
        <v>9.5000000000000001E-2</v>
      </c>
      <c r="L18" s="24">
        <v>71.149999999999991</v>
      </c>
      <c r="M18" s="24">
        <v>0.86999999999999988</v>
      </c>
      <c r="N18" s="24">
        <f t="shared" si="2"/>
        <v>1351.85</v>
      </c>
      <c r="O18" s="26">
        <f t="shared" si="3"/>
        <v>96184.127499999988</v>
      </c>
    </row>
    <row r="19" spans="1:15" x14ac:dyDescent="0.3">
      <c r="A19" s="25">
        <v>8</v>
      </c>
      <c r="B19" s="24">
        <v>6</v>
      </c>
      <c r="C19" s="24">
        <v>0.03</v>
      </c>
      <c r="D19" s="24">
        <v>179.99999999999991</v>
      </c>
      <c r="E19" s="24">
        <v>0.96500000000000008</v>
      </c>
      <c r="F19" s="24">
        <f t="shared" si="0"/>
        <v>1079.9999999999995</v>
      </c>
      <c r="G19" s="26">
        <f t="shared" si="1"/>
        <v>194399.99999999983</v>
      </c>
      <c r="I19" s="25">
        <v>8</v>
      </c>
      <c r="J19" s="24">
        <v>16</v>
      </c>
      <c r="K19" s="24">
        <v>0.08</v>
      </c>
      <c r="L19" s="24">
        <v>74.249999999999986</v>
      </c>
      <c r="M19" s="24">
        <v>0.94999999999999984</v>
      </c>
      <c r="N19" s="24">
        <f t="shared" si="2"/>
        <v>1187.9999999999998</v>
      </c>
      <c r="O19" s="26">
        <f t="shared" si="3"/>
        <v>88208.999999999971</v>
      </c>
    </row>
    <row r="20" spans="1:15" x14ac:dyDescent="0.3">
      <c r="A20" s="25">
        <v>9</v>
      </c>
      <c r="B20" s="24">
        <v>4</v>
      </c>
      <c r="C20" s="24">
        <v>0.02</v>
      </c>
      <c r="D20" s="24">
        <v>183.1999999999999</v>
      </c>
      <c r="E20" s="24">
        <v>0.9850000000000001</v>
      </c>
      <c r="F20" s="24">
        <f t="shared" si="0"/>
        <v>732.79999999999961</v>
      </c>
      <c r="G20" s="26">
        <f t="shared" si="1"/>
        <v>134248.95999999985</v>
      </c>
      <c r="I20" s="25">
        <v>9</v>
      </c>
      <c r="J20" s="24">
        <v>7</v>
      </c>
      <c r="K20" s="24">
        <v>3.5000000000000003E-2</v>
      </c>
      <c r="L20" s="24">
        <v>77.34999999999998</v>
      </c>
      <c r="M20" s="24">
        <v>0.98499999999999988</v>
      </c>
      <c r="N20" s="24">
        <f t="shared" si="2"/>
        <v>541.44999999999982</v>
      </c>
      <c r="O20" s="26">
        <f t="shared" si="3"/>
        <v>41881.157499999972</v>
      </c>
    </row>
    <row r="21" spans="1:15" x14ac:dyDescent="0.3">
      <c r="A21" s="25">
        <v>10</v>
      </c>
      <c r="B21" s="24">
        <v>3</v>
      </c>
      <c r="C21" s="24">
        <v>1.4999999999999999E-2</v>
      </c>
      <c r="D21" s="24">
        <v>186.39999999999986</v>
      </c>
      <c r="E21" s="24">
        <v>1</v>
      </c>
      <c r="F21" s="24">
        <f t="shared" si="0"/>
        <v>559.19999999999959</v>
      </c>
      <c r="G21" s="26">
        <f t="shared" si="1"/>
        <v>104234.87999999984</v>
      </c>
      <c r="I21" s="25">
        <v>10</v>
      </c>
      <c r="J21" s="24">
        <v>3</v>
      </c>
      <c r="K21" s="24">
        <v>1.4999999999999999E-2</v>
      </c>
      <c r="L21" s="24">
        <v>80.449999999999974</v>
      </c>
      <c r="M21" s="24">
        <v>0.99999999999999989</v>
      </c>
      <c r="N21" s="24">
        <f t="shared" si="2"/>
        <v>241.34999999999991</v>
      </c>
      <c r="O21" s="26">
        <f t="shared" si="3"/>
        <v>19416.607499999987</v>
      </c>
    </row>
    <row r="22" spans="1:15" ht="15" thickBot="1" x14ac:dyDescent="0.35">
      <c r="A22" s="19"/>
      <c r="G22" s="20"/>
      <c r="I22" s="19"/>
      <c r="O22" s="20"/>
    </row>
    <row r="23" spans="1:15" ht="15" thickBot="1" x14ac:dyDescent="0.35">
      <c r="A23" s="28" t="s">
        <v>29</v>
      </c>
      <c r="B23" s="17">
        <f>SUM(B12:B21)</f>
        <v>200</v>
      </c>
      <c r="C23" s="17"/>
      <c r="D23" s="17"/>
      <c r="E23" s="17"/>
      <c r="F23" s="17">
        <f>SUM(F12:F21)</f>
        <v>33894.399999999987</v>
      </c>
      <c r="G23" s="18">
        <f>SUM(G12:G21)</f>
        <v>5751577.5999999968</v>
      </c>
      <c r="I23" s="28" t="s">
        <v>29</v>
      </c>
      <c r="J23" s="17">
        <f>SUM(J12:J21)</f>
        <v>200</v>
      </c>
      <c r="K23" s="17"/>
      <c r="L23" s="17"/>
      <c r="M23" s="17"/>
      <c r="N23" s="17">
        <f>SUM(N12:N21)</f>
        <v>13024.1</v>
      </c>
      <c r="O23" s="18">
        <f>SUM(O12:O21)</f>
        <v>856212.1</v>
      </c>
    </row>
    <row r="24" spans="1:15" ht="15" thickBot="1" x14ac:dyDescent="0.35">
      <c r="A24" s="28" t="s">
        <v>33</v>
      </c>
      <c r="B24" s="17">
        <f>B23/Мощность</f>
        <v>1</v>
      </c>
      <c r="C24" s="17"/>
      <c r="D24" s="17"/>
      <c r="E24" s="17"/>
      <c r="F24" s="17">
        <f>F23/Мощность</f>
        <v>169.47199999999992</v>
      </c>
      <c r="G24" s="18">
        <f>G23/Мощность</f>
        <v>28757.887999999984</v>
      </c>
      <c r="I24" s="28" t="s">
        <v>33</v>
      </c>
      <c r="J24" s="17">
        <f>J23/Мощность</f>
        <v>1</v>
      </c>
      <c r="K24" s="17"/>
      <c r="L24" s="17"/>
      <c r="M24" s="17"/>
      <c r="N24" s="17">
        <f>N23/Мощность</f>
        <v>65.120500000000007</v>
      </c>
      <c r="O24" s="18">
        <f>O23/Мощность</f>
        <v>4281.0604999999996</v>
      </c>
    </row>
    <row r="25" spans="1:15" x14ac:dyDescent="0.3">
      <c r="A25" s="11"/>
    </row>
    <row r="27" spans="1:15" x14ac:dyDescent="0.3">
      <c r="A27" s="11" t="s">
        <v>31</v>
      </c>
      <c r="B27" s="14">
        <f>F23/Мощность</f>
        <v>169.47199999999992</v>
      </c>
      <c r="I27" s="11" t="s">
        <v>38</v>
      </c>
      <c r="J27" s="14">
        <f>N23/Мощность</f>
        <v>65.120500000000007</v>
      </c>
    </row>
    <row r="28" spans="1:15" x14ac:dyDescent="0.3">
      <c r="A28" s="11" t="s">
        <v>32</v>
      </c>
      <c r="B28" s="14">
        <f>G24-Среднее_выборочное_Рост*Среднее_выборочное_Рост</f>
        <v>37.129216000012093</v>
      </c>
      <c r="I28" s="11" t="s">
        <v>39</v>
      </c>
      <c r="J28" s="14">
        <f>O24-Среднее_выборочное_Вес*Среднее_выборочное_Вес</f>
        <v>40.380979749998914</v>
      </c>
    </row>
    <row r="29" spans="1:15" x14ac:dyDescent="0.3">
      <c r="A29" s="11" t="s">
        <v>34</v>
      </c>
      <c r="B29" s="14">
        <f>Мощность * Дисперсия_выборки_Рост / (Мощность -1)</f>
        <v>37.315794974886522</v>
      </c>
      <c r="I29" s="11" t="s">
        <v>40</v>
      </c>
      <c r="J29" s="14">
        <f>Мощность*Дисперсия_выборки_Вес/(Мощность -1)</f>
        <v>40.583899246230068</v>
      </c>
    </row>
    <row r="30" spans="1:15" x14ac:dyDescent="0.3">
      <c r="A30" s="11" t="s">
        <v>35</v>
      </c>
      <c r="B30" s="14">
        <f>SQRT(Дисперсия_выборки_Рост)</f>
        <v>6.0933747628069037</v>
      </c>
      <c r="I30" s="11" t="s">
        <v>41</v>
      </c>
      <c r="J30" s="14">
        <f>SQRT(Дисперсия_выборки_Вес)</f>
        <v>6.3546030363822821</v>
      </c>
    </row>
    <row r="31" spans="1:15" x14ac:dyDescent="0.3">
      <c r="A31" s="11" t="s">
        <v>36</v>
      </c>
      <c r="B31" s="14">
        <f>SQRT(Исправленная_дисперсия_Рост)</f>
        <v>6.1086655641708294</v>
      </c>
      <c r="I31" s="11" t="s">
        <v>42</v>
      </c>
      <c r="J31" s="14">
        <f>SQRT(Исправленная_дисперсия_Вес)</f>
        <v>6.3705493676942861</v>
      </c>
    </row>
    <row r="32" spans="1:15" x14ac:dyDescent="0.3">
      <c r="A32" s="11" t="s">
        <v>37</v>
      </c>
      <c r="B32" s="14">
        <f>D16</f>
        <v>170.39999999999995</v>
      </c>
      <c r="I32" s="11" t="s">
        <v>43</v>
      </c>
      <c r="J32" s="14">
        <f>(L16+L17)/2</f>
        <v>66.5</v>
      </c>
    </row>
  </sheetData>
  <mergeCells count="2">
    <mergeCell ref="A4:G4"/>
    <mergeCell ref="I4:O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ABFC-6410-40BB-B74C-900E57C3B488}">
  <dimension ref="B7:F14"/>
  <sheetViews>
    <sheetView workbookViewId="0">
      <selection activeCell="B8" sqref="B8:F8"/>
    </sheetView>
  </sheetViews>
  <sheetFormatPr defaultRowHeight="14.4" x14ac:dyDescent="0.3"/>
  <cols>
    <col min="2" max="2" width="33.6640625" customWidth="1"/>
    <col min="4" max="4" width="4.21875" customWidth="1"/>
    <col min="5" max="5" width="31.77734375" customWidth="1"/>
  </cols>
  <sheetData>
    <row r="7" spans="2:6" ht="15" thickBot="1" x14ac:dyDescent="0.35"/>
    <row r="8" spans="2:6" ht="15" thickBot="1" x14ac:dyDescent="0.35">
      <c r="B8" s="97" t="s">
        <v>44</v>
      </c>
      <c r="C8" s="98"/>
      <c r="D8" s="98"/>
      <c r="E8" s="98"/>
      <c r="F8" s="99"/>
    </row>
    <row r="9" spans="2:6" x14ac:dyDescent="0.3">
      <c r="B9" s="35" t="s">
        <v>31</v>
      </c>
      <c r="C9" s="36">
        <f>AVERAGE(Рост)</f>
        <v>169.38499999999999</v>
      </c>
      <c r="D9" s="100"/>
      <c r="E9" s="37" t="s">
        <v>38</v>
      </c>
      <c r="F9" s="38">
        <f>AVERAGE(Вес)</f>
        <v>65.31</v>
      </c>
    </row>
    <row r="10" spans="2:6" x14ac:dyDescent="0.3">
      <c r="B10" s="39" t="s">
        <v>32</v>
      </c>
      <c r="C10" s="34">
        <f>_xlfn.VAR.P(Рост)</f>
        <v>36.08677500000006</v>
      </c>
      <c r="D10" s="101"/>
      <c r="E10" s="33" t="s">
        <v>39</v>
      </c>
      <c r="F10" s="40">
        <f>_xlfn.VAR.P(Вес)</f>
        <v>38.283900000000038</v>
      </c>
    </row>
    <row r="11" spans="2:6" x14ac:dyDescent="0.3">
      <c r="B11" s="39" t="s">
        <v>34</v>
      </c>
      <c r="C11" s="34">
        <f>_xlfn.VAR.S(Рост)</f>
        <v>36.26811557788951</v>
      </c>
      <c r="D11" s="101"/>
      <c r="E11" s="33" t="s">
        <v>40</v>
      </c>
      <c r="F11" s="40">
        <f>_xlfn.VAR.S(Вес)</f>
        <v>38.476281407035209</v>
      </c>
    </row>
    <row r="12" spans="2:6" x14ac:dyDescent="0.3">
      <c r="B12" s="39" t="s">
        <v>35</v>
      </c>
      <c r="C12" s="34">
        <f>_xlfn.STDEV.P(Рост)</f>
        <v>6.0072268976625196</v>
      </c>
      <c r="D12" s="101"/>
      <c r="E12" s="33" t="s">
        <v>41</v>
      </c>
      <c r="F12" s="40">
        <f>_xlfn.STDEV.P(Вес)</f>
        <v>6.1873984840157208</v>
      </c>
    </row>
    <row r="13" spans="2:6" x14ac:dyDescent="0.3">
      <c r="B13" s="39" t="s">
        <v>36</v>
      </c>
      <c r="C13" s="34">
        <f>_xlfn.STDEV.S(Рост)</f>
        <v>6.0223015183474091</v>
      </c>
      <c r="D13" s="101"/>
      <c r="E13" s="33" t="s">
        <v>42</v>
      </c>
      <c r="F13" s="40">
        <f>_xlfn.STDEV.S(Вес)</f>
        <v>6.2029252298439976</v>
      </c>
    </row>
    <row r="14" spans="2:6" ht="15" thickBot="1" x14ac:dyDescent="0.35">
      <c r="B14" s="41" t="s">
        <v>45</v>
      </c>
      <c r="C14" s="42">
        <f>MEDIAN(Рост)</f>
        <v>169</v>
      </c>
      <c r="D14" s="102"/>
      <c r="E14" s="43" t="s">
        <v>46</v>
      </c>
      <c r="F14" s="44">
        <f>MEDIAN(Вес)</f>
        <v>65.5</v>
      </c>
    </row>
  </sheetData>
  <mergeCells count="2">
    <mergeCell ref="B8:F8"/>
    <mergeCell ref="D9:D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E53B-CE06-4A16-A26B-5FC214445C58}">
  <dimension ref="A2:P16"/>
  <sheetViews>
    <sheetView workbookViewId="0">
      <selection activeCell="F28" sqref="F28"/>
    </sheetView>
  </sheetViews>
  <sheetFormatPr defaultRowHeight="14.4" x14ac:dyDescent="0.3"/>
  <cols>
    <col min="1" max="1" width="40.21875" style="45" customWidth="1"/>
    <col min="2" max="4" width="11.6640625" style="45" customWidth="1"/>
    <col min="5" max="5" width="13.44140625" style="45" customWidth="1"/>
    <col min="6" max="7" width="18.33203125" style="45" customWidth="1"/>
    <col min="8" max="16384" width="8.88671875" style="45"/>
  </cols>
  <sheetData>
    <row r="2" spans="1:16" ht="14.4" customHeight="1" x14ac:dyDescent="0.3">
      <c r="A2" s="45" t="s">
        <v>53</v>
      </c>
      <c r="B2" s="45">
        <v>0.95</v>
      </c>
    </row>
    <row r="3" spans="1:16" x14ac:dyDescent="0.3">
      <c r="A3" s="112" t="s">
        <v>82</v>
      </c>
      <c r="B3" s="112"/>
      <c r="C3" s="112"/>
      <c r="D3" s="112"/>
    </row>
    <row r="4" spans="1:16" x14ac:dyDescent="0.3">
      <c r="A4" s="112"/>
      <c r="B4" s="112"/>
      <c r="C4" s="112"/>
      <c r="D4" s="112"/>
    </row>
    <row r="6" spans="1:16" ht="15" thickBot="1" x14ac:dyDescent="0.35"/>
    <row r="7" spans="1:16" ht="15" thickBot="1" x14ac:dyDescent="0.35">
      <c r="A7" s="116" t="s">
        <v>49</v>
      </c>
      <c r="B7" s="116" t="s">
        <v>50</v>
      </c>
      <c r="C7" s="116"/>
      <c r="D7" s="117" t="s">
        <v>52</v>
      </c>
      <c r="E7" s="117" t="s">
        <v>57</v>
      </c>
      <c r="F7" s="119" t="s">
        <v>54</v>
      </c>
      <c r="G7" s="119"/>
      <c r="H7" s="109" t="s">
        <v>58</v>
      </c>
      <c r="I7" s="110"/>
      <c r="J7" s="110"/>
      <c r="K7" s="110"/>
      <c r="L7" s="110"/>
      <c r="M7" s="110"/>
      <c r="N7" s="110"/>
      <c r="O7" s="110"/>
      <c r="P7" s="111"/>
    </row>
    <row r="8" spans="1:16" ht="15" thickBot="1" x14ac:dyDescent="0.35">
      <c r="A8" s="116"/>
      <c r="B8" s="46" t="s">
        <v>47</v>
      </c>
      <c r="C8" s="46" t="s">
        <v>48</v>
      </c>
      <c r="D8" s="118"/>
      <c r="E8" s="118"/>
      <c r="F8" s="51" t="s">
        <v>55</v>
      </c>
      <c r="G8" s="51" t="s">
        <v>56</v>
      </c>
      <c r="H8" s="109"/>
      <c r="I8" s="110"/>
      <c r="J8" s="110"/>
      <c r="K8" s="110"/>
      <c r="L8" s="110"/>
      <c r="M8" s="110"/>
      <c r="N8" s="110"/>
      <c r="O8" s="110"/>
      <c r="P8" s="111"/>
    </row>
    <row r="9" spans="1:16" ht="28.8" customHeight="1" x14ac:dyDescent="0.3">
      <c r="A9" s="47" t="s">
        <v>47</v>
      </c>
      <c r="B9" s="47" t="s">
        <v>51</v>
      </c>
      <c r="C9" s="47">
        <v>36</v>
      </c>
      <c r="D9" s="47">
        <f>_xlfn.NORM.S.INV(E9)</f>
        <v>1.9599639845400536</v>
      </c>
      <c r="E9" s="47">
        <f>(1+показатель_надежности__γ)/2</f>
        <v>0.97499999999999998</v>
      </c>
      <c r="F9" s="52">
        <f>Среднее_выборочное_Рост-D9*(СКО_Рост)/(SQRT(Мощность))</f>
        <v>168.62751686130292</v>
      </c>
      <c r="G9" s="52">
        <f>Среднее_выборочное_Рост+D9*(СКО_Рост)/(SQRT(Мощность))</f>
        <v>170.31648313869692</v>
      </c>
      <c r="H9" s="113" t="s">
        <v>59</v>
      </c>
      <c r="I9" s="114"/>
      <c r="J9" s="114"/>
      <c r="K9" s="114"/>
      <c r="L9" s="114"/>
      <c r="M9" s="114"/>
      <c r="N9" s="114"/>
      <c r="O9" s="114"/>
      <c r="P9" s="115"/>
    </row>
    <row r="10" spans="1:16" ht="28.8" customHeight="1" x14ac:dyDescent="0.3">
      <c r="A10" s="48" t="s">
        <v>47</v>
      </c>
      <c r="B10" s="48" t="s">
        <v>51</v>
      </c>
      <c r="C10" s="48" t="s">
        <v>51</v>
      </c>
      <c r="D10" s="48">
        <f>_xlfn.T.INV.2T(E10, Мощность-1)</f>
        <v>1.9719565442517553</v>
      </c>
      <c r="E10" s="48">
        <f>1-показатель_надежности__γ</f>
        <v>5.0000000000000044E-2</v>
      </c>
      <c r="F10" s="53">
        <f>Среднее_выборочное_Рост-D10*(Исправленное_СКО_Рост)/(SQRT(Мощность))</f>
        <v>168.62021754249764</v>
      </c>
      <c r="G10" s="53">
        <f>Среднее_выборочное_Рост+D10*(Исправленное_СКО_Рост)/(SQRT(Мощность))</f>
        <v>170.3237824575022</v>
      </c>
      <c r="H10" s="103" t="s">
        <v>60</v>
      </c>
      <c r="I10" s="104"/>
      <c r="J10" s="104"/>
      <c r="K10" s="104"/>
      <c r="L10" s="104"/>
      <c r="M10" s="104"/>
      <c r="N10" s="104"/>
      <c r="O10" s="104"/>
      <c r="P10" s="105"/>
    </row>
    <row r="11" spans="1:16" x14ac:dyDescent="0.3">
      <c r="A11" s="123" t="s">
        <v>48</v>
      </c>
      <c r="B11" s="125" t="s">
        <v>51</v>
      </c>
      <c r="C11" s="125" t="s">
        <v>51</v>
      </c>
      <c r="D11" s="48">
        <f>_xlfn.CHISQ.INV(E11,Мощность-1)</f>
        <v>161.82618239364686</v>
      </c>
      <c r="E11" s="48">
        <f>(1-показатель_надежности__γ)/2</f>
        <v>2.5000000000000022E-2</v>
      </c>
      <c r="F11" s="120">
        <f>(Мощность-1)*Исправленная_дисперсия_Рост/D12</f>
        <v>30.946212061308604</v>
      </c>
      <c r="G11" s="120">
        <f>(Мощность-1)*Исправленная_дисперсия_Рост/D11</f>
        <v>45.887773474992073</v>
      </c>
      <c r="H11" s="103" t="s">
        <v>61</v>
      </c>
      <c r="I11" s="104"/>
      <c r="J11" s="104"/>
      <c r="K11" s="104"/>
      <c r="L11" s="104"/>
      <c r="M11" s="104"/>
      <c r="N11" s="104"/>
      <c r="O11" s="104"/>
      <c r="P11" s="105"/>
    </row>
    <row r="12" spans="1:16" x14ac:dyDescent="0.3">
      <c r="A12" s="124"/>
      <c r="B12" s="126"/>
      <c r="C12" s="126"/>
      <c r="D12" s="48">
        <f>_xlfn.CHISQ.INV(E12,Мощность-1)</f>
        <v>239.9596818276442</v>
      </c>
      <c r="E12" s="48">
        <f>(1+показатель_надежности__γ)/2</f>
        <v>0.97499999999999998</v>
      </c>
      <c r="F12" s="121"/>
      <c r="G12" s="121"/>
      <c r="H12" s="103"/>
      <c r="I12" s="104"/>
      <c r="J12" s="104"/>
      <c r="K12" s="104"/>
      <c r="L12" s="104"/>
      <c r="M12" s="104"/>
      <c r="N12" s="104"/>
      <c r="O12" s="104"/>
      <c r="P12" s="105"/>
    </row>
    <row r="13" spans="1:16" x14ac:dyDescent="0.3">
      <c r="A13" s="123" t="s">
        <v>48</v>
      </c>
      <c r="B13" s="125">
        <v>170</v>
      </c>
      <c r="C13" s="125" t="s">
        <v>51</v>
      </c>
      <c r="D13" s="50">
        <f>_xlfn.CHISQ.INV(E13,Мощность)</f>
        <v>162.7279825018463</v>
      </c>
      <c r="E13" s="50">
        <f>(1-показатель_надежности__γ)/2</f>
        <v>2.5000000000000022E-2</v>
      </c>
      <c r="F13" s="120">
        <f>Мощность*$B$16/D14</f>
        <v>31.03652748766358</v>
      </c>
      <c r="G13" s="120">
        <f>Мощность*$B$16/D13</f>
        <v>45.976112313166958</v>
      </c>
      <c r="H13" s="103" t="s">
        <v>62</v>
      </c>
      <c r="I13" s="104"/>
      <c r="J13" s="104"/>
      <c r="K13" s="104"/>
      <c r="L13" s="104"/>
      <c r="M13" s="104"/>
      <c r="N13" s="104"/>
      <c r="O13" s="104"/>
      <c r="P13" s="105"/>
    </row>
    <row r="14" spans="1:16" ht="15" thickBot="1" x14ac:dyDescent="0.35">
      <c r="A14" s="127"/>
      <c r="B14" s="118"/>
      <c r="C14" s="118"/>
      <c r="D14" s="49">
        <f>_xlfn.CHISQ.INV(E14,Мощность)</f>
        <v>241.0578955063109</v>
      </c>
      <c r="E14" s="49">
        <f>(1+показатель_надежности__γ)/2</f>
        <v>0.97499999999999998</v>
      </c>
      <c r="F14" s="122"/>
      <c r="G14" s="122"/>
      <c r="H14" s="106"/>
      <c r="I14" s="107"/>
      <c r="J14" s="107"/>
      <c r="K14" s="107"/>
      <c r="L14" s="107"/>
      <c r="M14" s="107"/>
      <c r="N14" s="107"/>
      <c r="O14" s="107"/>
      <c r="P14" s="108"/>
    </row>
    <row r="16" spans="1:16" x14ac:dyDescent="0.3">
      <c r="A16" s="45" t="s">
        <v>63</v>
      </c>
      <c r="B16" s="45" cm="1">
        <f t="array" ref="B16">SUM(POWER((с_i_Рост-B13),2)*v_i_Рост)/Мощность</f>
        <v>37.407999999999767</v>
      </c>
    </row>
  </sheetData>
  <mergeCells count="21">
    <mergeCell ref="B11:B12"/>
    <mergeCell ref="C11:C12"/>
    <mergeCell ref="A13:A14"/>
    <mergeCell ref="B13:B14"/>
    <mergeCell ref="C13:C14"/>
    <mergeCell ref="H13:P14"/>
    <mergeCell ref="H7:P8"/>
    <mergeCell ref="A3:D4"/>
    <mergeCell ref="H9:P9"/>
    <mergeCell ref="H10:P10"/>
    <mergeCell ref="H11:P12"/>
    <mergeCell ref="B7:C7"/>
    <mergeCell ref="A7:A8"/>
    <mergeCell ref="E7:E8"/>
    <mergeCell ref="F7:G7"/>
    <mergeCell ref="D7:D8"/>
    <mergeCell ref="F11:F12"/>
    <mergeCell ref="F13:F14"/>
    <mergeCell ref="G11:G12"/>
    <mergeCell ref="G13:G14"/>
    <mergeCell ref="A11:A12"/>
  </mergeCells>
  <pageMargins left="0.7" right="0.7" top="0.75" bottom="0.75" header="0.3" footer="0.3"/>
  <pageSetup orientation="portrait" r:id="rId1"/>
  <ignoredErrors>
    <ignoredError sqref="E12:E1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B586-E0F1-4549-B7E5-B733432B7504}">
  <dimension ref="A2:S29"/>
  <sheetViews>
    <sheetView workbookViewId="0">
      <selection activeCell="L39" sqref="L39"/>
    </sheetView>
  </sheetViews>
  <sheetFormatPr defaultRowHeight="14.4" x14ac:dyDescent="0.3"/>
  <cols>
    <col min="1" max="11" width="8.88671875" style="14"/>
    <col min="12" max="12" width="14.33203125" style="14" customWidth="1"/>
    <col min="13" max="13" width="11.5546875" style="14" customWidth="1"/>
    <col min="14" max="14" width="8.88671875" style="14"/>
    <col min="15" max="15" width="19.5546875" style="14" customWidth="1"/>
    <col min="16" max="16384" width="8.88671875" style="14"/>
  </cols>
  <sheetData>
    <row r="2" spans="1:19" x14ac:dyDescent="0.3">
      <c r="A2" s="128" t="s">
        <v>64</v>
      </c>
      <c r="B2" s="128"/>
      <c r="C2" s="128"/>
      <c r="D2" s="128"/>
      <c r="E2" s="128"/>
      <c r="F2" s="128"/>
      <c r="G2" s="128"/>
      <c r="H2" s="128"/>
      <c r="I2" s="128"/>
    </row>
    <row r="3" spans="1:19" x14ac:dyDescent="0.3">
      <c r="M3" s="132" t="s">
        <v>70</v>
      </c>
    </row>
    <row r="4" spans="1:19" x14ac:dyDescent="0.3">
      <c r="M4" s="132"/>
    </row>
    <row r="5" spans="1:19" x14ac:dyDescent="0.3">
      <c r="M5" s="132"/>
    </row>
    <row r="6" spans="1:19" x14ac:dyDescent="0.3">
      <c r="M6" s="132"/>
    </row>
    <row r="7" spans="1:19" x14ac:dyDescent="0.3">
      <c r="M7" s="132"/>
    </row>
    <row r="8" spans="1:19" ht="15" thickBot="1" x14ac:dyDescent="0.35">
      <c r="B8" s="129" t="s">
        <v>65</v>
      </c>
      <c r="C8" s="129"/>
      <c r="D8" s="129"/>
      <c r="E8" s="129"/>
      <c r="G8" s="129" t="s">
        <v>66</v>
      </c>
      <c r="H8" s="129"/>
      <c r="I8" s="129"/>
      <c r="J8" s="129"/>
      <c r="M8" s="132"/>
    </row>
    <row r="9" spans="1:19" ht="15" thickBot="1" x14ac:dyDescent="0.35">
      <c r="B9" s="55" t="str" cm="1">
        <f t="array" ref="B9:E19">интервалыРост</f>
        <v>i</v>
      </c>
      <c r="C9" s="56" t="str">
        <v>a_(i-1)</v>
      </c>
      <c r="D9" s="56" t="str">
        <v>a_i</v>
      </c>
      <c r="E9" s="57" t="str">
        <v>v_i</v>
      </c>
      <c r="G9" s="55" t="s">
        <v>18</v>
      </c>
      <c r="H9" s="56" t="s">
        <v>19</v>
      </c>
      <c r="I9" s="56" t="s">
        <v>20</v>
      </c>
      <c r="J9" s="56" t="s">
        <v>21</v>
      </c>
      <c r="K9" s="56" t="s">
        <v>67</v>
      </c>
      <c r="L9" s="56" t="s">
        <v>69</v>
      </c>
      <c r="M9" s="56" t="s">
        <v>71</v>
      </c>
      <c r="N9" s="56" t="s">
        <v>72</v>
      </c>
      <c r="O9" s="57" t="s">
        <v>73</v>
      </c>
    </row>
    <row r="10" spans="1:19" x14ac:dyDescent="0.3">
      <c r="B10" s="54">
        <v>1</v>
      </c>
      <c r="C10" s="54">
        <v>156</v>
      </c>
      <c r="D10" s="54">
        <v>159.19999999999999</v>
      </c>
      <c r="E10" s="54">
        <v>6</v>
      </c>
      <c r="G10" s="54">
        <v>1</v>
      </c>
      <c r="H10" s="54" t="str">
        <f>"-inf"</f>
        <v>-inf</v>
      </c>
      <c r="I10" s="54">
        <v>162.4</v>
      </c>
      <c r="J10" s="59">
        <v>26</v>
      </c>
      <c r="K10" s="64">
        <v>0</v>
      </c>
      <c r="L10" s="63">
        <f>K11-K10</f>
        <v>0.12349331294361288</v>
      </c>
      <c r="M10" s="63">
        <f t="shared" ref="M10:M15" si="0">L10*Мощность</f>
        <v>24.698662588722577</v>
      </c>
      <c r="N10" s="63">
        <f>J10-M10</f>
        <v>1.301337411277423</v>
      </c>
      <c r="O10" s="63">
        <f>N10*N10/J10</f>
        <v>6.5133809922700958E-2</v>
      </c>
    </row>
    <row r="11" spans="1:19" x14ac:dyDescent="0.3">
      <c r="B11" s="24">
        <v>2</v>
      </c>
      <c r="C11" s="24">
        <v>159.19999999999999</v>
      </c>
      <c r="D11" s="24">
        <v>162.39999999999998</v>
      </c>
      <c r="E11" s="24">
        <v>20</v>
      </c>
      <c r="G11" s="24">
        <v>2</v>
      </c>
      <c r="H11" s="24">
        <v>162.4</v>
      </c>
      <c r="I11" s="24">
        <v>165.6</v>
      </c>
      <c r="J11" s="60">
        <v>32</v>
      </c>
      <c r="K11" s="66">
        <f>_xlfn.NORM.S.DIST((H11-$J$18)/$J$19, TRUE)</f>
        <v>0.12349331294361288</v>
      </c>
      <c r="L11" s="65">
        <f t="shared" ref="L11:L14" si="1">K12-K11</f>
        <v>0.13959485346447686</v>
      </c>
      <c r="M11" s="65">
        <f t="shared" si="0"/>
        <v>27.918970692895371</v>
      </c>
      <c r="N11" s="65">
        <f t="shared" ref="N11:N15" si="2">J11-M11</f>
        <v>4.0810293071046289</v>
      </c>
      <c r="O11" s="65">
        <f t="shared" ref="O11:O14" si="3">N11*N11/J11</f>
        <v>0.52046250642021519</v>
      </c>
    </row>
    <row r="12" spans="1:19" x14ac:dyDescent="0.3">
      <c r="B12" s="24">
        <v>3</v>
      </c>
      <c r="C12" s="24">
        <v>162.39999999999998</v>
      </c>
      <c r="D12" s="24">
        <v>165.59999999999997</v>
      </c>
      <c r="E12" s="24">
        <v>32</v>
      </c>
      <c r="G12" s="24">
        <v>3</v>
      </c>
      <c r="H12" s="24">
        <v>165.6</v>
      </c>
      <c r="I12" s="24">
        <v>168.8</v>
      </c>
      <c r="J12" s="60">
        <v>33</v>
      </c>
      <c r="K12" s="66">
        <f t="shared" ref="K12:K15" si="4">_xlfn.NORM.S.DIST((H12-$J$18)/$J$19, TRUE)</f>
        <v>0.26308816640808974</v>
      </c>
      <c r="L12" s="65">
        <f t="shared" si="1"/>
        <v>0.1931134838734016</v>
      </c>
      <c r="M12" s="65">
        <f t="shared" si="0"/>
        <v>38.622696774680321</v>
      </c>
      <c r="N12" s="65">
        <f t="shared" si="2"/>
        <v>-5.6226967746803211</v>
      </c>
      <c r="O12" s="65">
        <f>N12*N12/J12</f>
        <v>0.95802178848486319</v>
      </c>
    </row>
    <row r="13" spans="1:19" x14ac:dyDescent="0.3">
      <c r="B13" s="24">
        <v>4</v>
      </c>
      <c r="C13" s="24">
        <v>165.59999999999997</v>
      </c>
      <c r="D13" s="24">
        <v>168.79999999999995</v>
      </c>
      <c r="E13" s="24">
        <v>33</v>
      </c>
      <c r="G13" s="24">
        <v>4</v>
      </c>
      <c r="H13" s="24">
        <v>168.8</v>
      </c>
      <c r="I13" s="24">
        <v>172</v>
      </c>
      <c r="J13" s="60">
        <v>41</v>
      </c>
      <c r="K13" s="66">
        <f t="shared" si="4"/>
        <v>0.45620165028149134</v>
      </c>
      <c r="L13" s="65">
        <f t="shared" si="1"/>
        <v>0.20430209703298724</v>
      </c>
      <c r="M13" s="65">
        <f t="shared" si="0"/>
        <v>40.860419406597451</v>
      </c>
      <c r="N13" s="65">
        <f t="shared" si="2"/>
        <v>0.13958059340254891</v>
      </c>
      <c r="O13" s="65">
        <f t="shared" si="3"/>
        <v>4.7518883060018735E-4</v>
      </c>
    </row>
    <row r="14" spans="1:19" x14ac:dyDescent="0.3">
      <c r="B14" s="24">
        <v>5</v>
      </c>
      <c r="C14" s="24">
        <v>168.79999999999995</v>
      </c>
      <c r="D14" s="24">
        <v>171.99999999999994</v>
      </c>
      <c r="E14" s="24">
        <v>41</v>
      </c>
      <c r="G14" s="24">
        <v>5</v>
      </c>
      <c r="H14" s="24">
        <v>172</v>
      </c>
      <c r="I14" s="24">
        <v>175.2</v>
      </c>
      <c r="J14" s="60">
        <v>36</v>
      </c>
      <c r="K14" s="66">
        <f t="shared" si="4"/>
        <v>0.66050374731447858</v>
      </c>
      <c r="L14" s="65">
        <f t="shared" si="1"/>
        <v>0.16529292412284258</v>
      </c>
      <c r="M14" s="65">
        <f t="shared" si="0"/>
        <v>33.058584824568513</v>
      </c>
      <c r="N14" s="65">
        <f t="shared" si="2"/>
        <v>2.9414151754314872</v>
      </c>
      <c r="O14" s="65">
        <f t="shared" si="3"/>
        <v>0.24033120095162908</v>
      </c>
    </row>
    <row r="15" spans="1:19" x14ac:dyDescent="0.3">
      <c r="B15" s="24">
        <v>6</v>
      </c>
      <c r="C15" s="24">
        <v>171.99999999999994</v>
      </c>
      <c r="D15" s="24">
        <v>175.19999999999993</v>
      </c>
      <c r="E15" s="24">
        <v>36</v>
      </c>
      <c r="G15" s="24">
        <v>6</v>
      </c>
      <c r="H15" s="24">
        <v>175.2</v>
      </c>
      <c r="I15" s="24" t="str">
        <f>"inf"</f>
        <v>inf</v>
      </c>
      <c r="J15" s="60">
        <v>32</v>
      </c>
      <c r="K15" s="66">
        <f t="shared" si="4"/>
        <v>0.82579667143732116</v>
      </c>
      <c r="L15" s="65">
        <f>K16-K15</f>
        <v>0.17420332856267884</v>
      </c>
      <c r="M15" s="65">
        <f t="shared" si="0"/>
        <v>34.840665712535767</v>
      </c>
      <c r="N15" s="65">
        <f t="shared" si="2"/>
        <v>-2.8406657125357668</v>
      </c>
      <c r="O15" s="65">
        <f>N15*N15/J15</f>
        <v>0.25216817782426049</v>
      </c>
    </row>
    <row r="16" spans="1:19" x14ac:dyDescent="0.3">
      <c r="B16" s="24">
        <v>7</v>
      </c>
      <c r="C16" s="24">
        <v>175.19999999999993</v>
      </c>
      <c r="D16" s="24">
        <v>178.39999999999992</v>
      </c>
      <c r="E16" s="24">
        <v>19</v>
      </c>
      <c r="I16" s="58" t="s">
        <v>5</v>
      </c>
      <c r="J16" s="58">
        <f>SUM(J10:J15)</f>
        <v>200</v>
      </c>
      <c r="K16" s="24">
        <v>1</v>
      </c>
      <c r="N16" s="72" t="s">
        <v>74</v>
      </c>
      <c r="O16" s="67">
        <f>SUM(O10:O15)</f>
        <v>2.0365926724342689</v>
      </c>
      <c r="P16" s="129" t="s">
        <v>76</v>
      </c>
      <c r="Q16" s="129"/>
      <c r="R16" s="129"/>
      <c r="S16" s="129"/>
    </row>
    <row r="17" spans="2:15" x14ac:dyDescent="0.3">
      <c r="B17" s="24">
        <v>8</v>
      </c>
      <c r="C17" s="24">
        <v>178.39999999999992</v>
      </c>
      <c r="D17" s="24">
        <v>181.59999999999991</v>
      </c>
      <c r="E17" s="24">
        <v>6</v>
      </c>
    </row>
    <row r="18" spans="2:15" x14ac:dyDescent="0.3">
      <c r="B18" s="24">
        <v>9</v>
      </c>
      <c r="C18" s="24">
        <v>181.59999999999991</v>
      </c>
      <c r="D18" s="24">
        <v>184.7999999999999</v>
      </c>
      <c r="E18" s="24">
        <v>4</v>
      </c>
      <c r="G18" s="130" t="s">
        <v>31</v>
      </c>
      <c r="H18" s="130"/>
      <c r="I18" s="130"/>
      <c r="J18" s="14">
        <f>Среднее_выборочное_Рост</f>
        <v>169.47199999999992</v>
      </c>
    </row>
    <row r="19" spans="2:15" x14ac:dyDescent="0.3">
      <c r="B19" s="24">
        <v>10</v>
      </c>
      <c r="C19" s="24">
        <v>184.7999999999999</v>
      </c>
      <c r="D19" s="24">
        <v>188.09999999999988</v>
      </c>
      <c r="E19" s="24">
        <v>3</v>
      </c>
      <c r="G19" s="130" t="s">
        <v>36</v>
      </c>
      <c r="H19" s="130"/>
      <c r="I19" s="130"/>
      <c r="J19" s="14">
        <f>Исправленное_СКО_Рост</f>
        <v>6.1086655641708294</v>
      </c>
    </row>
    <row r="21" spans="2:15" x14ac:dyDescent="0.3">
      <c r="B21" s="11"/>
      <c r="C21" s="11"/>
      <c r="D21" s="11"/>
      <c r="E21" s="11"/>
      <c r="F21" s="11"/>
      <c r="G21" s="129" t="s">
        <v>68</v>
      </c>
      <c r="H21" s="129"/>
      <c r="I21" s="129"/>
      <c r="J21" s="129"/>
    </row>
    <row r="22" spans="2:15" x14ac:dyDescent="0.3">
      <c r="B22" s="11"/>
      <c r="C22" s="11"/>
      <c r="D22" s="11"/>
      <c r="E22" s="11"/>
      <c r="F22" s="11"/>
      <c r="G22" s="11"/>
      <c r="H22" s="11"/>
    </row>
    <row r="23" spans="2:15" x14ac:dyDescent="0.3">
      <c r="G23" s="130" t="s">
        <v>75</v>
      </c>
      <c r="H23" s="130"/>
      <c r="I23" s="130"/>
      <c r="J23" s="14">
        <v>0.05</v>
      </c>
    </row>
    <row r="24" spans="2:15" x14ac:dyDescent="0.3">
      <c r="G24" s="130" t="s">
        <v>78</v>
      </c>
      <c r="H24" s="130"/>
      <c r="I24" s="130"/>
      <c r="J24" s="14">
        <f>6-2-1</f>
        <v>3</v>
      </c>
    </row>
    <row r="25" spans="2:15" x14ac:dyDescent="0.3">
      <c r="G25" s="130" t="s">
        <v>77</v>
      </c>
      <c r="H25" s="130"/>
      <c r="I25" s="130"/>
      <c r="J25" s="14">
        <f>_xlfn.CHISQ.INV.RT(уровень_значимости, степень_свободы)</f>
        <v>7.8147279032511792</v>
      </c>
    </row>
    <row r="28" spans="2:15" ht="14.4" customHeight="1" x14ac:dyDescent="0.3">
      <c r="F28" s="74" t="s">
        <v>79</v>
      </c>
      <c r="G28" s="131" t="s">
        <v>80</v>
      </c>
      <c r="H28" s="131"/>
      <c r="I28" s="131"/>
      <c r="J28" s="131"/>
      <c r="K28" s="131"/>
      <c r="L28" s="131"/>
      <c r="M28" s="131"/>
      <c r="N28" s="131"/>
      <c r="O28" s="131"/>
    </row>
    <row r="29" spans="2:15" x14ac:dyDescent="0.3">
      <c r="G29" s="73"/>
      <c r="H29" s="73"/>
      <c r="I29" s="73"/>
      <c r="J29" s="73"/>
      <c r="K29" s="73"/>
      <c r="L29" s="73"/>
      <c r="M29" s="73"/>
      <c r="N29" s="73"/>
      <c r="O29" s="73"/>
    </row>
  </sheetData>
  <mergeCells count="12">
    <mergeCell ref="G28:O28"/>
    <mergeCell ref="M3:M8"/>
    <mergeCell ref="G23:I23"/>
    <mergeCell ref="P16:S16"/>
    <mergeCell ref="G25:I25"/>
    <mergeCell ref="G24:I24"/>
    <mergeCell ref="G21:J21"/>
    <mergeCell ref="A2:I2"/>
    <mergeCell ref="B8:E8"/>
    <mergeCell ref="G8:J8"/>
    <mergeCell ref="G18:I18"/>
    <mergeCell ref="G19:I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124-02A9-42EA-96E8-6724B84644A8}">
  <dimension ref="A3:E3"/>
  <sheetViews>
    <sheetView workbookViewId="0">
      <selection activeCell="K27" sqref="K27"/>
    </sheetView>
  </sheetViews>
  <sheetFormatPr defaultRowHeight="14.4" x14ac:dyDescent="0.3"/>
  <sheetData>
    <row r="3" spans="1:5" x14ac:dyDescent="0.3">
      <c r="A3" s="128" t="s">
        <v>81</v>
      </c>
      <c r="B3" s="128"/>
      <c r="C3" s="128"/>
      <c r="D3" s="128"/>
      <c r="E3" s="128"/>
    </row>
  </sheetData>
  <mergeCells count="1">
    <mergeCell ref="A3:E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6F08-7873-40E1-B11A-E61B3DF887EA}">
  <dimension ref="A3:W33"/>
  <sheetViews>
    <sheetView workbookViewId="0">
      <selection activeCell="F43" sqref="F43"/>
    </sheetView>
  </sheetViews>
  <sheetFormatPr defaultRowHeight="14.4" x14ac:dyDescent="0.3"/>
  <cols>
    <col min="1" max="16384" width="8.88671875" style="14"/>
  </cols>
  <sheetData>
    <row r="3" spans="1:18" x14ac:dyDescent="0.3">
      <c r="A3" s="128" t="s">
        <v>83</v>
      </c>
      <c r="B3" s="128"/>
      <c r="C3" s="128"/>
      <c r="D3" s="128"/>
      <c r="E3" s="128"/>
      <c r="F3" s="128"/>
      <c r="G3" s="128"/>
      <c r="H3" s="128"/>
    </row>
    <row r="4" spans="1:18" ht="15" thickBot="1" x14ac:dyDescent="0.35"/>
    <row r="5" spans="1:18" x14ac:dyDescent="0.3">
      <c r="C5" s="79" t="s">
        <v>85</v>
      </c>
      <c r="D5" s="69">
        <v>51</v>
      </c>
      <c r="E5" s="70">
        <f>D6</f>
        <v>54.1</v>
      </c>
      <c r="F5" s="70">
        <f t="shared" ref="F5:M5" si="0">E6</f>
        <v>57.2</v>
      </c>
      <c r="G5" s="70">
        <f t="shared" si="0"/>
        <v>60.3</v>
      </c>
      <c r="H5" s="70">
        <f t="shared" si="0"/>
        <v>63.4</v>
      </c>
      <c r="I5" s="70">
        <f t="shared" si="0"/>
        <v>66.5</v>
      </c>
      <c r="J5" s="70">
        <f t="shared" si="0"/>
        <v>69.599999999999994</v>
      </c>
      <c r="K5" s="70">
        <f t="shared" si="0"/>
        <v>72.7</v>
      </c>
      <c r="L5" s="70">
        <f t="shared" si="0"/>
        <v>75.8</v>
      </c>
      <c r="M5" s="71">
        <f t="shared" si="0"/>
        <v>78.900000000000006</v>
      </c>
    </row>
    <row r="6" spans="1:18" ht="15" thickBot="1" x14ac:dyDescent="0.35">
      <c r="B6" s="79" t="s">
        <v>19</v>
      </c>
      <c r="C6" s="79" t="s">
        <v>84</v>
      </c>
      <c r="D6" s="76">
        <v>54.1</v>
      </c>
      <c r="E6" s="75">
        <v>57.2</v>
      </c>
      <c r="F6" s="75">
        <v>60.3</v>
      </c>
      <c r="G6" s="75">
        <v>63.4</v>
      </c>
      <c r="H6" s="75">
        <v>66.5</v>
      </c>
      <c r="I6" s="75">
        <v>69.599999999999994</v>
      </c>
      <c r="J6" s="75">
        <v>72.7</v>
      </c>
      <c r="K6" s="75">
        <v>75.8</v>
      </c>
      <c r="L6" s="75">
        <v>78.900000000000006</v>
      </c>
      <c r="M6" s="77">
        <v>82.1</v>
      </c>
      <c r="N6" s="14" t="s">
        <v>86</v>
      </c>
    </row>
    <row r="7" spans="1:18" x14ac:dyDescent="0.3">
      <c r="B7" s="69">
        <v>156</v>
      </c>
      <c r="C7" s="71">
        <v>159.19999999999999</v>
      </c>
      <c r="D7" s="80">
        <f t="shared" ref="D7:M16" si="1">COUNTIFS(Рост, "&gt;="&amp;$B7, Рост, "&lt;"&amp;$C7, Вес, "&gt;="&amp;D$5, Вес, "&lt;"&amp;D$6)</f>
        <v>3</v>
      </c>
      <c r="E7" s="54">
        <f t="shared" si="1"/>
        <v>1</v>
      </c>
      <c r="F7" s="54">
        <f t="shared" si="1"/>
        <v>1</v>
      </c>
      <c r="G7" s="54">
        <f t="shared" si="1"/>
        <v>0</v>
      </c>
      <c r="H7" s="54">
        <f t="shared" si="1"/>
        <v>0</v>
      </c>
      <c r="I7" s="54">
        <f t="shared" si="1"/>
        <v>1</v>
      </c>
      <c r="J7" s="54">
        <f t="shared" si="1"/>
        <v>0</v>
      </c>
      <c r="K7" s="54">
        <f t="shared" si="1"/>
        <v>0</v>
      </c>
      <c r="L7" s="54">
        <f t="shared" si="1"/>
        <v>0</v>
      </c>
      <c r="M7" s="54">
        <f t="shared" si="1"/>
        <v>0</v>
      </c>
      <c r="N7" s="81">
        <f>SUM(D7:M7)</f>
        <v>6</v>
      </c>
      <c r="P7" s="112" t="s">
        <v>88</v>
      </c>
      <c r="Q7" s="112"/>
      <c r="R7" s="112"/>
    </row>
    <row r="8" spans="1:18" x14ac:dyDescent="0.3">
      <c r="B8" s="25">
        <v>159.19999999999999</v>
      </c>
      <c r="C8" s="26">
        <v>162.39999999999998</v>
      </c>
      <c r="D8" s="78">
        <f t="shared" si="1"/>
        <v>4</v>
      </c>
      <c r="E8" s="24">
        <f t="shared" si="1"/>
        <v>5</v>
      </c>
      <c r="F8" s="24">
        <f t="shared" si="1"/>
        <v>3</v>
      </c>
      <c r="G8" s="24">
        <f t="shared" si="1"/>
        <v>3</v>
      </c>
      <c r="H8" s="24">
        <f t="shared" si="1"/>
        <v>5</v>
      </c>
      <c r="I8" s="24">
        <f t="shared" si="1"/>
        <v>0</v>
      </c>
      <c r="J8" s="24">
        <f t="shared" si="1"/>
        <v>0</v>
      </c>
      <c r="K8" s="24">
        <f t="shared" si="1"/>
        <v>0</v>
      </c>
      <c r="L8" s="24">
        <f t="shared" si="1"/>
        <v>0</v>
      </c>
      <c r="M8" s="24">
        <f t="shared" si="1"/>
        <v>0</v>
      </c>
      <c r="N8" s="81">
        <f t="shared" ref="N8:N16" si="2">SUM(D8:M8)</f>
        <v>20</v>
      </c>
      <c r="P8" s="112"/>
      <c r="Q8" s="112"/>
      <c r="R8" s="112"/>
    </row>
    <row r="9" spans="1:18" x14ac:dyDescent="0.3">
      <c r="B9" s="25">
        <v>162.39999999999998</v>
      </c>
      <c r="C9" s="26">
        <v>165.59999999999997</v>
      </c>
      <c r="D9" s="78">
        <f t="shared" si="1"/>
        <v>2</v>
      </c>
      <c r="E9" s="24">
        <f t="shared" si="1"/>
        <v>4</v>
      </c>
      <c r="F9" s="24">
        <f t="shared" si="1"/>
        <v>6</v>
      </c>
      <c r="G9" s="24">
        <f t="shared" si="1"/>
        <v>13</v>
      </c>
      <c r="H9" s="24">
        <f t="shared" si="1"/>
        <v>5</v>
      </c>
      <c r="I9" s="24">
        <f t="shared" si="1"/>
        <v>1</v>
      </c>
      <c r="J9" s="24">
        <f t="shared" si="1"/>
        <v>1</v>
      </c>
      <c r="K9" s="24">
        <f t="shared" si="1"/>
        <v>0</v>
      </c>
      <c r="L9" s="24">
        <f t="shared" si="1"/>
        <v>0</v>
      </c>
      <c r="M9" s="24">
        <f t="shared" si="1"/>
        <v>0</v>
      </c>
      <c r="N9" s="81">
        <f t="shared" si="2"/>
        <v>32</v>
      </c>
      <c r="P9" s="112"/>
      <c r="Q9" s="112"/>
      <c r="R9" s="112"/>
    </row>
    <row r="10" spans="1:18" x14ac:dyDescent="0.3">
      <c r="B10" s="25">
        <v>165.59999999999997</v>
      </c>
      <c r="C10" s="26">
        <v>168.79999999999995</v>
      </c>
      <c r="D10" s="78">
        <f t="shared" si="1"/>
        <v>0</v>
      </c>
      <c r="E10" s="24">
        <f t="shared" si="1"/>
        <v>4</v>
      </c>
      <c r="F10" s="24">
        <f t="shared" si="1"/>
        <v>4</v>
      </c>
      <c r="G10" s="24">
        <f t="shared" si="1"/>
        <v>8</v>
      </c>
      <c r="H10" s="24">
        <f t="shared" si="1"/>
        <v>5</v>
      </c>
      <c r="I10" s="24">
        <f t="shared" si="1"/>
        <v>8</v>
      </c>
      <c r="J10" s="24">
        <f t="shared" si="1"/>
        <v>2</v>
      </c>
      <c r="K10" s="24">
        <f t="shared" si="1"/>
        <v>1</v>
      </c>
      <c r="L10" s="24">
        <f t="shared" si="1"/>
        <v>1</v>
      </c>
      <c r="M10" s="24">
        <f t="shared" si="1"/>
        <v>0</v>
      </c>
      <c r="N10" s="81">
        <f t="shared" si="2"/>
        <v>33</v>
      </c>
      <c r="P10" s="112"/>
      <c r="Q10" s="112"/>
      <c r="R10" s="112"/>
    </row>
    <row r="11" spans="1:18" x14ac:dyDescent="0.3">
      <c r="B11" s="25">
        <v>168.79999999999995</v>
      </c>
      <c r="C11" s="26">
        <v>171.99999999999994</v>
      </c>
      <c r="D11" s="78">
        <f t="shared" si="1"/>
        <v>0</v>
      </c>
      <c r="E11" s="24">
        <f t="shared" si="1"/>
        <v>2</v>
      </c>
      <c r="F11" s="24">
        <f t="shared" si="1"/>
        <v>3</v>
      </c>
      <c r="G11" s="24">
        <f t="shared" si="1"/>
        <v>8</v>
      </c>
      <c r="H11" s="24">
        <f t="shared" si="1"/>
        <v>12</v>
      </c>
      <c r="I11" s="24">
        <f t="shared" si="1"/>
        <v>9</v>
      </c>
      <c r="J11" s="24">
        <f t="shared" si="1"/>
        <v>4</v>
      </c>
      <c r="K11" s="24">
        <f t="shared" si="1"/>
        <v>2</v>
      </c>
      <c r="L11" s="24">
        <f t="shared" si="1"/>
        <v>1</v>
      </c>
      <c r="M11" s="24">
        <f t="shared" si="1"/>
        <v>0</v>
      </c>
      <c r="N11" s="81">
        <f t="shared" si="2"/>
        <v>41</v>
      </c>
      <c r="P11" s="112"/>
      <c r="Q11" s="112"/>
      <c r="R11" s="112"/>
    </row>
    <row r="12" spans="1:18" x14ac:dyDescent="0.3">
      <c r="B12" s="25">
        <v>171.99999999999994</v>
      </c>
      <c r="C12" s="26">
        <v>175.19999999999993</v>
      </c>
      <c r="D12" s="78">
        <f t="shared" si="1"/>
        <v>0</v>
      </c>
      <c r="E12" s="24">
        <f t="shared" si="1"/>
        <v>0</v>
      </c>
      <c r="F12" s="24">
        <f t="shared" si="1"/>
        <v>0</v>
      </c>
      <c r="G12" s="24">
        <f t="shared" si="1"/>
        <v>3</v>
      </c>
      <c r="H12" s="24">
        <f t="shared" si="1"/>
        <v>7</v>
      </c>
      <c r="I12" s="24">
        <f t="shared" si="1"/>
        <v>13</v>
      </c>
      <c r="J12" s="24">
        <f t="shared" si="1"/>
        <v>3</v>
      </c>
      <c r="K12" s="24">
        <f t="shared" si="1"/>
        <v>8</v>
      </c>
      <c r="L12" s="24">
        <f t="shared" si="1"/>
        <v>1</v>
      </c>
      <c r="M12" s="24">
        <f t="shared" si="1"/>
        <v>1</v>
      </c>
      <c r="N12" s="81">
        <f t="shared" si="2"/>
        <v>36</v>
      </c>
      <c r="P12" s="112"/>
      <c r="Q12" s="112"/>
      <c r="R12" s="112"/>
    </row>
    <row r="13" spans="1:18" x14ac:dyDescent="0.3">
      <c r="B13" s="25">
        <v>175.19999999999993</v>
      </c>
      <c r="C13" s="26">
        <v>178.39999999999992</v>
      </c>
      <c r="D13" s="78">
        <f t="shared" si="1"/>
        <v>0</v>
      </c>
      <c r="E13" s="24">
        <f t="shared" si="1"/>
        <v>0</v>
      </c>
      <c r="F13" s="24">
        <f t="shared" si="1"/>
        <v>1</v>
      </c>
      <c r="G13" s="24">
        <f t="shared" si="1"/>
        <v>1</v>
      </c>
      <c r="H13" s="24">
        <f t="shared" si="1"/>
        <v>2</v>
      </c>
      <c r="I13" s="24">
        <f t="shared" si="1"/>
        <v>4</v>
      </c>
      <c r="J13" s="24">
        <f t="shared" si="1"/>
        <v>6</v>
      </c>
      <c r="K13" s="24">
        <f t="shared" si="1"/>
        <v>2</v>
      </c>
      <c r="L13" s="24">
        <f t="shared" si="1"/>
        <v>2</v>
      </c>
      <c r="M13" s="24">
        <f t="shared" si="1"/>
        <v>1</v>
      </c>
      <c r="N13" s="81">
        <f t="shared" si="2"/>
        <v>19</v>
      </c>
      <c r="P13" s="112"/>
      <c r="Q13" s="112"/>
      <c r="R13" s="112"/>
    </row>
    <row r="14" spans="1:18" x14ac:dyDescent="0.3">
      <c r="B14" s="25">
        <v>178.39999999999992</v>
      </c>
      <c r="C14" s="26">
        <v>181.59999999999991</v>
      </c>
      <c r="D14" s="78">
        <f t="shared" si="1"/>
        <v>0</v>
      </c>
      <c r="E14" s="24">
        <f t="shared" si="1"/>
        <v>0</v>
      </c>
      <c r="F14" s="24">
        <f t="shared" si="1"/>
        <v>0</v>
      </c>
      <c r="G14" s="24">
        <f t="shared" si="1"/>
        <v>0</v>
      </c>
      <c r="H14" s="24">
        <f t="shared" si="1"/>
        <v>2</v>
      </c>
      <c r="I14" s="24">
        <f t="shared" si="1"/>
        <v>1</v>
      </c>
      <c r="J14" s="24">
        <f t="shared" si="1"/>
        <v>1</v>
      </c>
      <c r="K14" s="24">
        <f t="shared" si="1"/>
        <v>1</v>
      </c>
      <c r="L14" s="24">
        <f t="shared" si="1"/>
        <v>1</v>
      </c>
      <c r="M14" s="24">
        <f t="shared" si="1"/>
        <v>0</v>
      </c>
      <c r="N14" s="81">
        <f t="shared" si="2"/>
        <v>6</v>
      </c>
      <c r="P14" s="112"/>
      <c r="Q14" s="112"/>
      <c r="R14" s="112"/>
    </row>
    <row r="15" spans="1:18" x14ac:dyDescent="0.3">
      <c r="B15" s="25">
        <v>181.59999999999991</v>
      </c>
      <c r="C15" s="26">
        <v>184.7999999999999</v>
      </c>
      <c r="D15" s="78">
        <f t="shared" si="1"/>
        <v>0</v>
      </c>
      <c r="E15" s="24">
        <f t="shared" si="1"/>
        <v>0</v>
      </c>
      <c r="F15" s="24">
        <f t="shared" si="1"/>
        <v>0</v>
      </c>
      <c r="G15" s="24">
        <f t="shared" si="1"/>
        <v>0</v>
      </c>
      <c r="H15" s="24">
        <f t="shared" si="1"/>
        <v>0</v>
      </c>
      <c r="I15" s="24">
        <f t="shared" si="1"/>
        <v>1</v>
      </c>
      <c r="J15" s="24">
        <f t="shared" si="1"/>
        <v>1</v>
      </c>
      <c r="K15" s="24">
        <f t="shared" si="1"/>
        <v>1</v>
      </c>
      <c r="L15" s="24">
        <f t="shared" si="1"/>
        <v>1</v>
      </c>
      <c r="M15" s="24">
        <f t="shared" si="1"/>
        <v>0</v>
      </c>
      <c r="N15" s="81">
        <f t="shared" si="2"/>
        <v>4</v>
      </c>
    </row>
    <row r="16" spans="1:18" ht="15" thickBot="1" x14ac:dyDescent="0.35">
      <c r="B16" s="76">
        <v>184.7999999999999</v>
      </c>
      <c r="C16" s="77">
        <v>188.09999999999988</v>
      </c>
      <c r="D16" s="78">
        <f t="shared" si="1"/>
        <v>0</v>
      </c>
      <c r="E16" s="24">
        <f t="shared" si="1"/>
        <v>0</v>
      </c>
      <c r="F16" s="24">
        <f t="shared" si="1"/>
        <v>0</v>
      </c>
      <c r="G16" s="24">
        <f t="shared" si="1"/>
        <v>0</v>
      </c>
      <c r="H16" s="24">
        <f t="shared" si="1"/>
        <v>0</v>
      </c>
      <c r="I16" s="24">
        <f t="shared" si="1"/>
        <v>0</v>
      </c>
      <c r="J16" s="24">
        <f t="shared" si="1"/>
        <v>1</v>
      </c>
      <c r="K16" s="24">
        <f t="shared" si="1"/>
        <v>1</v>
      </c>
      <c r="L16" s="24">
        <f t="shared" si="1"/>
        <v>0</v>
      </c>
      <c r="M16" s="24">
        <f t="shared" si="1"/>
        <v>1</v>
      </c>
      <c r="N16" s="81">
        <f t="shared" si="2"/>
        <v>3</v>
      </c>
    </row>
    <row r="17" spans="2:23" x14ac:dyDescent="0.3">
      <c r="C17" s="14" t="s">
        <v>86</v>
      </c>
      <c r="D17" s="81">
        <f>SUM(D7:D16)</f>
        <v>9</v>
      </c>
      <c r="E17" s="81">
        <f t="shared" ref="E17:M17" si="3">SUM(E7:E16)</f>
        <v>16</v>
      </c>
      <c r="F17" s="81">
        <f t="shared" si="3"/>
        <v>18</v>
      </c>
      <c r="G17" s="81">
        <f t="shared" si="3"/>
        <v>36</v>
      </c>
      <c r="H17" s="81">
        <f t="shared" si="3"/>
        <v>38</v>
      </c>
      <c r="I17" s="81">
        <f t="shared" si="3"/>
        <v>38</v>
      </c>
      <c r="J17" s="81">
        <f t="shared" si="3"/>
        <v>19</v>
      </c>
      <c r="K17" s="81">
        <f t="shared" si="3"/>
        <v>16</v>
      </c>
      <c r="L17" s="81">
        <f t="shared" si="3"/>
        <v>7</v>
      </c>
      <c r="M17" s="81">
        <f t="shared" si="3"/>
        <v>3</v>
      </c>
      <c r="N17" s="58">
        <f>SUM(N7:N16)</f>
        <v>200</v>
      </c>
    </row>
    <row r="19" spans="2:23" x14ac:dyDescent="0.3">
      <c r="B19"/>
      <c r="C19" s="129" t="s">
        <v>87</v>
      </c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</row>
    <row r="20" spans="2:23" ht="15" thickBot="1" x14ac:dyDescent="0.35">
      <c r="O20" s="14" t="s">
        <v>90</v>
      </c>
    </row>
    <row r="21" spans="2:23" ht="15" thickBot="1" x14ac:dyDescent="0.35">
      <c r="C21" s="61" t="s">
        <v>84</v>
      </c>
      <c r="D21" s="85">
        <f>(D5+D6)/2</f>
        <v>52.55</v>
      </c>
      <c r="E21" s="56">
        <f t="shared" ref="E21:L21" si="4">(E5+E6)/2</f>
        <v>55.650000000000006</v>
      </c>
      <c r="F21" s="56">
        <f t="shared" si="4"/>
        <v>58.75</v>
      </c>
      <c r="G21" s="56">
        <f t="shared" si="4"/>
        <v>61.849999999999994</v>
      </c>
      <c r="H21" s="56">
        <f t="shared" si="4"/>
        <v>64.95</v>
      </c>
      <c r="I21" s="56">
        <f t="shared" si="4"/>
        <v>68.05</v>
      </c>
      <c r="J21" s="56">
        <f t="shared" si="4"/>
        <v>71.150000000000006</v>
      </c>
      <c r="K21" s="56">
        <f t="shared" si="4"/>
        <v>74.25</v>
      </c>
      <c r="L21" s="56">
        <f t="shared" si="4"/>
        <v>77.349999999999994</v>
      </c>
      <c r="M21" s="86">
        <f>(M5+M6-0.1)/2</f>
        <v>80.45</v>
      </c>
      <c r="N21" s="56" t="s">
        <v>86</v>
      </c>
      <c r="O21" s="57" t="s">
        <v>89</v>
      </c>
    </row>
    <row r="22" spans="2:23" x14ac:dyDescent="0.3">
      <c r="C22" s="84">
        <f>(B7+C7)/2</f>
        <v>157.6</v>
      </c>
      <c r="D22" s="80" cm="1">
        <f t="array" ref="D22:M31">частоты_корреляции</f>
        <v>3</v>
      </c>
      <c r="E22" s="54">
        <v>1</v>
      </c>
      <c r="F22" s="54">
        <v>1</v>
      </c>
      <c r="G22" s="54">
        <v>0</v>
      </c>
      <c r="H22" s="54">
        <v>0</v>
      </c>
      <c r="I22" s="54">
        <v>1</v>
      </c>
      <c r="J22" s="54">
        <v>0</v>
      </c>
      <c r="K22" s="54">
        <v>0</v>
      </c>
      <c r="L22" s="54">
        <v>0</v>
      </c>
      <c r="M22" s="54">
        <v>0</v>
      </c>
      <c r="N22" s="87">
        <f>SUM(D22:M22)</f>
        <v>6</v>
      </c>
      <c r="O22" s="54">
        <f>SUMPRODUCT($D$21:$M$21,D22:M22)/N22</f>
        <v>56.68333333333333</v>
      </c>
    </row>
    <row r="23" spans="2:23" x14ac:dyDescent="0.3">
      <c r="C23" s="82">
        <f t="shared" ref="C23:C30" si="5">(B8+C8)/2</f>
        <v>160.79999999999998</v>
      </c>
      <c r="D23" s="78">
        <v>4</v>
      </c>
      <c r="E23" s="24">
        <v>5</v>
      </c>
      <c r="F23" s="24">
        <v>3</v>
      </c>
      <c r="G23" s="24">
        <v>3</v>
      </c>
      <c r="H23" s="24">
        <v>5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87">
        <f t="shared" ref="N23:N31" si="6">SUM(D23:M23)</f>
        <v>20</v>
      </c>
      <c r="O23" s="24">
        <f t="shared" ref="O23:O32" si="7">SUMPRODUCT($D$21:$M$21,D23:M23)/N23</f>
        <v>58.75</v>
      </c>
    </row>
    <row r="24" spans="2:23" x14ac:dyDescent="0.3">
      <c r="C24" s="82">
        <f t="shared" si="5"/>
        <v>163.99999999999997</v>
      </c>
      <c r="D24" s="78">
        <v>2</v>
      </c>
      <c r="E24" s="24">
        <v>4</v>
      </c>
      <c r="F24" s="24">
        <v>6</v>
      </c>
      <c r="G24" s="24">
        <v>13</v>
      </c>
      <c r="H24" s="24">
        <v>5</v>
      </c>
      <c r="I24" s="24">
        <v>1</v>
      </c>
      <c r="J24" s="24">
        <v>1</v>
      </c>
      <c r="K24" s="24">
        <v>0</v>
      </c>
      <c r="L24" s="24">
        <v>0</v>
      </c>
      <c r="M24" s="24">
        <v>0</v>
      </c>
      <c r="N24" s="87">
        <f t="shared" si="6"/>
        <v>32</v>
      </c>
      <c r="O24" s="24">
        <f t="shared" si="7"/>
        <v>60.881250000000001</v>
      </c>
    </row>
    <row r="25" spans="2:23" x14ac:dyDescent="0.3">
      <c r="C25" s="82">
        <f t="shared" si="5"/>
        <v>167.19999999999996</v>
      </c>
      <c r="D25" s="78">
        <v>0</v>
      </c>
      <c r="E25" s="24">
        <v>4</v>
      </c>
      <c r="F25" s="24">
        <v>4</v>
      </c>
      <c r="G25" s="24">
        <v>8</v>
      </c>
      <c r="H25" s="24">
        <v>5</v>
      </c>
      <c r="I25" s="24">
        <v>8</v>
      </c>
      <c r="J25" s="24">
        <v>2</v>
      </c>
      <c r="K25" s="24">
        <v>1</v>
      </c>
      <c r="L25" s="24">
        <v>1</v>
      </c>
      <c r="M25" s="24">
        <v>0</v>
      </c>
      <c r="N25" s="87">
        <f t="shared" si="6"/>
        <v>33</v>
      </c>
      <c r="O25" s="24">
        <f t="shared" si="7"/>
        <v>64.104545454545459</v>
      </c>
    </row>
    <row r="26" spans="2:23" x14ac:dyDescent="0.3">
      <c r="C26" s="82">
        <f t="shared" si="5"/>
        <v>170.39999999999995</v>
      </c>
      <c r="D26" s="78">
        <v>0</v>
      </c>
      <c r="E26" s="24">
        <v>2</v>
      </c>
      <c r="F26" s="24">
        <v>3</v>
      </c>
      <c r="G26" s="24">
        <v>8</v>
      </c>
      <c r="H26" s="24">
        <v>12</v>
      </c>
      <c r="I26" s="24">
        <v>9</v>
      </c>
      <c r="J26" s="24">
        <v>4</v>
      </c>
      <c r="K26" s="24">
        <v>2</v>
      </c>
      <c r="L26" s="24">
        <v>1</v>
      </c>
      <c r="M26" s="24">
        <v>0</v>
      </c>
      <c r="N26" s="87">
        <f t="shared" si="6"/>
        <v>41</v>
      </c>
      <c r="O26" s="24">
        <f t="shared" si="7"/>
        <v>65.479268292682917</v>
      </c>
    </row>
    <row r="27" spans="2:23" x14ac:dyDescent="0.3">
      <c r="C27" s="82">
        <f t="shared" si="5"/>
        <v>173.59999999999994</v>
      </c>
      <c r="D27" s="78">
        <v>0</v>
      </c>
      <c r="E27" s="24">
        <v>0</v>
      </c>
      <c r="F27" s="24">
        <v>0</v>
      </c>
      <c r="G27" s="24">
        <v>3</v>
      </c>
      <c r="H27" s="24">
        <v>7</v>
      </c>
      <c r="I27" s="24">
        <v>13</v>
      </c>
      <c r="J27" s="24">
        <v>3</v>
      </c>
      <c r="K27" s="24">
        <v>8</v>
      </c>
      <c r="L27" s="24">
        <v>1</v>
      </c>
      <c r="M27" s="24">
        <v>1</v>
      </c>
      <c r="N27" s="87">
        <f t="shared" si="6"/>
        <v>36</v>
      </c>
      <c r="O27" s="24">
        <f t="shared" si="7"/>
        <v>69.169444444444437</v>
      </c>
    </row>
    <row r="28" spans="2:23" x14ac:dyDescent="0.3">
      <c r="C28" s="82">
        <f t="shared" si="5"/>
        <v>176.79999999999993</v>
      </c>
      <c r="D28" s="78">
        <v>0</v>
      </c>
      <c r="E28" s="24">
        <v>0</v>
      </c>
      <c r="F28" s="24">
        <v>1</v>
      </c>
      <c r="G28" s="24">
        <v>1</v>
      </c>
      <c r="H28" s="24">
        <v>2</v>
      </c>
      <c r="I28" s="24">
        <v>4</v>
      </c>
      <c r="J28" s="24">
        <v>6</v>
      </c>
      <c r="K28" s="24">
        <v>2</v>
      </c>
      <c r="L28" s="24">
        <v>2</v>
      </c>
      <c r="M28" s="24">
        <v>1</v>
      </c>
      <c r="N28" s="87">
        <f t="shared" si="6"/>
        <v>19</v>
      </c>
      <c r="O28" s="24">
        <f t="shared" si="7"/>
        <v>70.171052631578959</v>
      </c>
    </row>
    <row r="29" spans="2:23" x14ac:dyDescent="0.3">
      <c r="C29" s="82">
        <f t="shared" si="5"/>
        <v>179.99999999999991</v>
      </c>
      <c r="D29" s="78">
        <v>0</v>
      </c>
      <c r="E29" s="24">
        <v>0</v>
      </c>
      <c r="F29" s="24">
        <v>0</v>
      </c>
      <c r="G29" s="24">
        <v>0</v>
      </c>
      <c r="H29" s="24">
        <v>2</v>
      </c>
      <c r="I29" s="24">
        <v>1</v>
      </c>
      <c r="J29" s="24">
        <v>1</v>
      </c>
      <c r="K29" s="24">
        <v>1</v>
      </c>
      <c r="L29" s="24">
        <v>1</v>
      </c>
      <c r="M29" s="24">
        <v>0</v>
      </c>
      <c r="N29" s="87">
        <f t="shared" si="6"/>
        <v>6</v>
      </c>
      <c r="O29" s="24">
        <f t="shared" si="7"/>
        <v>70.116666666666674</v>
      </c>
    </row>
    <row r="30" spans="2:23" x14ac:dyDescent="0.3">
      <c r="C30" s="82">
        <f t="shared" si="5"/>
        <v>183.1999999999999</v>
      </c>
      <c r="D30" s="78">
        <v>0</v>
      </c>
      <c r="E30" s="24">
        <v>0</v>
      </c>
      <c r="F30" s="24">
        <v>0</v>
      </c>
      <c r="G30" s="24">
        <v>0</v>
      </c>
      <c r="H30" s="24">
        <v>0</v>
      </c>
      <c r="I30" s="24">
        <v>1</v>
      </c>
      <c r="J30" s="24">
        <v>1</v>
      </c>
      <c r="K30" s="24">
        <v>1</v>
      </c>
      <c r="L30" s="24">
        <v>1</v>
      </c>
      <c r="M30" s="24">
        <v>0</v>
      </c>
      <c r="N30" s="87">
        <f t="shared" si="6"/>
        <v>4</v>
      </c>
      <c r="O30" s="24">
        <f t="shared" si="7"/>
        <v>72.699999999999989</v>
      </c>
    </row>
    <row r="31" spans="2:23" ht="15" thickBot="1" x14ac:dyDescent="0.35">
      <c r="C31" s="83">
        <f>(B16+C16-0.1)/2</f>
        <v>186.39999999999986</v>
      </c>
      <c r="D31" s="78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1</v>
      </c>
      <c r="K31" s="24">
        <v>1</v>
      </c>
      <c r="L31" s="24">
        <v>0</v>
      </c>
      <c r="M31" s="24">
        <v>1</v>
      </c>
      <c r="N31" s="88">
        <f t="shared" si="6"/>
        <v>3</v>
      </c>
      <c r="O31" s="24">
        <f t="shared" si="7"/>
        <v>75.283333333333346</v>
      </c>
    </row>
    <row r="32" spans="2:23" x14ac:dyDescent="0.3">
      <c r="C32" s="14" t="s">
        <v>86</v>
      </c>
      <c r="D32" s="81">
        <f>SUM(D22:D31)</f>
        <v>9</v>
      </c>
      <c r="E32" s="81">
        <f t="shared" ref="E32" si="8">SUM(E22:E31)</f>
        <v>16</v>
      </c>
      <c r="F32" s="81">
        <f t="shared" ref="F32" si="9">SUM(F22:F31)</f>
        <v>18</v>
      </c>
      <c r="G32" s="81">
        <f t="shared" ref="G32" si="10">SUM(G22:G31)</f>
        <v>36</v>
      </c>
      <c r="H32" s="81">
        <f t="shared" ref="H32" si="11">SUM(H22:H31)</f>
        <v>38</v>
      </c>
      <c r="I32" s="81">
        <f t="shared" ref="I32" si="12">SUM(I22:I31)</f>
        <v>38</v>
      </c>
      <c r="J32" s="81">
        <f t="shared" ref="J32" si="13">SUM(J22:J31)</f>
        <v>19</v>
      </c>
      <c r="K32" s="81">
        <f t="shared" ref="K32" si="14">SUM(K22:K31)</f>
        <v>16</v>
      </c>
      <c r="L32" s="81">
        <f t="shared" ref="L32" si="15">SUM(L22:L31)</f>
        <v>7</v>
      </c>
      <c r="M32" s="81">
        <f t="shared" ref="M32" si="16">SUM(M22:M31)</f>
        <v>3</v>
      </c>
      <c r="N32" s="58">
        <f>SUM(N22:N31)</f>
        <v>200</v>
      </c>
      <c r="O32" s="33">
        <f t="shared" si="7"/>
        <v>65.120500000000007</v>
      </c>
      <c r="P32" s="133" t="s">
        <v>94</v>
      </c>
      <c r="Q32" s="129"/>
      <c r="R32" s="129"/>
      <c r="S32" s="129"/>
      <c r="T32" s="129"/>
      <c r="U32" s="129"/>
      <c r="V32" s="129"/>
      <c r="W32" s="129"/>
    </row>
    <row r="33" spans="3:15" x14ac:dyDescent="0.3">
      <c r="C33" s="128" t="s">
        <v>91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</row>
  </sheetData>
  <mergeCells count="5">
    <mergeCell ref="A3:H3"/>
    <mergeCell ref="P7:R14"/>
    <mergeCell ref="C33:O33"/>
    <mergeCell ref="C19:O19"/>
    <mergeCell ref="P32:W32"/>
  </mergeCells>
  <pageMargins left="0.7" right="0.7" top="0.75" bottom="0.75" header="0.3" footer="0.3"/>
  <pageSetup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CF75-2714-4977-A7B9-B86000C00E7A}">
  <dimension ref="B3:U26"/>
  <sheetViews>
    <sheetView workbookViewId="0">
      <selection activeCell="B6" sqref="B6:N16"/>
    </sheetView>
  </sheetViews>
  <sheetFormatPr defaultRowHeight="14.4" x14ac:dyDescent="0.3"/>
  <cols>
    <col min="1" max="13" width="8.88671875" style="14"/>
    <col min="14" max="14" width="9" style="14" bestFit="1" customWidth="1"/>
    <col min="15" max="15" width="10.33203125" style="14" customWidth="1"/>
    <col min="16" max="16" width="14.6640625" style="14" customWidth="1"/>
    <col min="17" max="17" width="10.33203125" style="14" customWidth="1"/>
    <col min="18" max="16384" width="8.88671875" style="14"/>
  </cols>
  <sheetData>
    <row r="3" spans="2:21" x14ac:dyDescent="0.3">
      <c r="B3" s="128" t="s">
        <v>92</v>
      </c>
      <c r="C3" s="128"/>
      <c r="D3" s="128"/>
      <c r="E3" s="128"/>
      <c r="F3" s="128"/>
      <c r="G3" s="128"/>
    </row>
    <row r="5" spans="2:21" ht="15" thickBot="1" x14ac:dyDescent="0.35"/>
    <row r="6" spans="2:21" ht="15" thickBot="1" x14ac:dyDescent="0.35">
      <c r="B6" s="61" t="str" cm="1">
        <f t="array" ref="B6:N16">серединная_корреляционная_табл</f>
        <v>a_i/b_i</v>
      </c>
      <c r="C6" s="85">
        <v>52.55</v>
      </c>
      <c r="D6" s="56">
        <v>55.650000000000006</v>
      </c>
      <c r="E6" s="56">
        <v>58.75</v>
      </c>
      <c r="F6" s="56">
        <v>61.849999999999994</v>
      </c>
      <c r="G6" s="56">
        <v>64.95</v>
      </c>
      <c r="H6" s="56">
        <v>68.05</v>
      </c>
      <c r="I6" s="56">
        <v>71.150000000000006</v>
      </c>
      <c r="J6" s="56">
        <v>74.25</v>
      </c>
      <c r="K6" s="56">
        <v>77.349999999999994</v>
      </c>
      <c r="L6" s="56">
        <v>80.45</v>
      </c>
      <c r="M6" s="56" t="str">
        <v>Σv_i</v>
      </c>
      <c r="N6" s="56" t="str">
        <v>Y_x</v>
      </c>
      <c r="O6" s="56" t="s">
        <v>93</v>
      </c>
      <c r="P6" s="56" t="s">
        <v>95</v>
      </c>
      <c r="Q6" s="57" t="s">
        <v>97</v>
      </c>
    </row>
    <row r="7" spans="2:21" x14ac:dyDescent="0.3">
      <c r="B7" s="84">
        <v>157.6</v>
      </c>
      <c r="C7" s="80">
        <v>3</v>
      </c>
      <c r="D7" s="54">
        <v>1</v>
      </c>
      <c r="E7" s="54">
        <v>1</v>
      </c>
      <c r="F7" s="54">
        <v>0</v>
      </c>
      <c r="G7" s="54">
        <v>0</v>
      </c>
      <c r="H7" s="54">
        <v>1</v>
      </c>
      <c r="I7" s="54">
        <v>0</v>
      </c>
      <c r="J7" s="54">
        <v>0</v>
      </c>
      <c r="K7" s="54">
        <v>0</v>
      </c>
      <c r="L7" s="54">
        <v>0</v>
      </c>
      <c r="M7" s="54">
        <v>6</v>
      </c>
      <c r="N7" s="63">
        <v>56.68333333333333</v>
      </c>
      <c r="O7" s="63">
        <f>N7*N7</f>
        <v>3213.0002777777772</v>
      </c>
      <c r="P7" s="63">
        <f>O7*M7</f>
        <v>19278.001666666663</v>
      </c>
      <c r="Q7" s="63">
        <f>SUMPRODUCT($C$6:$L$6,$C$6:$L$6,C7:L7)/M7-O7</f>
        <v>30.965555555555966</v>
      </c>
      <c r="R7" s="62"/>
      <c r="S7" s="62"/>
      <c r="T7" s="62"/>
      <c r="U7" s="62"/>
    </row>
    <row r="8" spans="2:21" x14ac:dyDescent="0.3">
      <c r="B8" s="82">
        <v>160.79999999999998</v>
      </c>
      <c r="C8" s="78">
        <v>4</v>
      </c>
      <c r="D8" s="24">
        <v>5</v>
      </c>
      <c r="E8" s="24">
        <v>3</v>
      </c>
      <c r="F8" s="24">
        <v>3</v>
      </c>
      <c r="G8" s="24">
        <v>5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20</v>
      </c>
      <c r="N8" s="65">
        <v>58.75</v>
      </c>
      <c r="O8" s="65">
        <f t="shared" ref="O8:O16" si="0">N8*N8</f>
        <v>3451.5625</v>
      </c>
      <c r="P8" s="65">
        <f t="shared" ref="P8:P16" si="1">O8*M8</f>
        <v>69031.25</v>
      </c>
      <c r="Q8" s="65">
        <f t="shared" ref="Q8:Q16" si="2">SUMPRODUCT($C$6:$L$6,$C$6:$L$6,C8:L8)/M8-O8</f>
        <v>21.141999999999825</v>
      </c>
      <c r="R8" s="62"/>
      <c r="S8" s="62"/>
      <c r="T8" s="62"/>
      <c r="U8" s="62"/>
    </row>
    <row r="9" spans="2:21" x14ac:dyDescent="0.3">
      <c r="B9" s="82">
        <v>163.99999999999997</v>
      </c>
      <c r="C9" s="78">
        <v>2</v>
      </c>
      <c r="D9" s="24">
        <v>4</v>
      </c>
      <c r="E9" s="24">
        <v>6</v>
      </c>
      <c r="F9" s="24">
        <v>13</v>
      </c>
      <c r="G9" s="24">
        <v>5</v>
      </c>
      <c r="H9" s="24">
        <v>1</v>
      </c>
      <c r="I9" s="24">
        <v>1</v>
      </c>
      <c r="J9" s="24">
        <v>0</v>
      </c>
      <c r="K9" s="24">
        <v>0</v>
      </c>
      <c r="L9" s="24">
        <v>0</v>
      </c>
      <c r="M9" s="24">
        <v>32</v>
      </c>
      <c r="N9" s="65">
        <v>60.881250000000001</v>
      </c>
      <c r="O9" s="65">
        <f t="shared" si="0"/>
        <v>3706.5266015625002</v>
      </c>
      <c r="P9" s="65">
        <f t="shared" si="1"/>
        <v>118608.85125000001</v>
      </c>
      <c r="Q9" s="65">
        <f t="shared" si="2"/>
        <v>16.479648437500146</v>
      </c>
      <c r="R9" s="62"/>
      <c r="S9" s="62"/>
      <c r="T9" s="62"/>
      <c r="U9" s="62"/>
    </row>
    <row r="10" spans="2:21" x14ac:dyDescent="0.3">
      <c r="B10" s="82">
        <v>167.19999999999996</v>
      </c>
      <c r="C10" s="78">
        <v>0</v>
      </c>
      <c r="D10" s="24">
        <v>4</v>
      </c>
      <c r="E10" s="24">
        <v>4</v>
      </c>
      <c r="F10" s="24">
        <v>8</v>
      </c>
      <c r="G10" s="24">
        <v>5</v>
      </c>
      <c r="H10" s="24">
        <v>8</v>
      </c>
      <c r="I10" s="24">
        <v>2</v>
      </c>
      <c r="J10" s="24">
        <v>1</v>
      </c>
      <c r="K10" s="24">
        <v>1</v>
      </c>
      <c r="L10" s="24">
        <v>0</v>
      </c>
      <c r="M10" s="24">
        <v>33</v>
      </c>
      <c r="N10" s="65">
        <v>64.104545454545459</v>
      </c>
      <c r="O10" s="65">
        <f t="shared" si="0"/>
        <v>4109.3927479338845</v>
      </c>
      <c r="P10" s="65">
        <f t="shared" si="1"/>
        <v>135609.96068181819</v>
      </c>
      <c r="Q10" s="65">
        <f t="shared" si="2"/>
        <v>28.69763085399336</v>
      </c>
      <c r="R10" s="62"/>
      <c r="S10" s="62"/>
      <c r="T10" s="62"/>
      <c r="U10" s="62"/>
    </row>
    <row r="11" spans="2:21" x14ac:dyDescent="0.3">
      <c r="B11" s="82">
        <v>170.39999999999995</v>
      </c>
      <c r="C11" s="78">
        <v>0</v>
      </c>
      <c r="D11" s="24">
        <v>2</v>
      </c>
      <c r="E11" s="24">
        <v>3</v>
      </c>
      <c r="F11" s="24">
        <v>8</v>
      </c>
      <c r="G11" s="24">
        <v>12</v>
      </c>
      <c r="H11" s="24">
        <v>9</v>
      </c>
      <c r="I11" s="24">
        <v>4</v>
      </c>
      <c r="J11" s="24">
        <v>2</v>
      </c>
      <c r="K11" s="24">
        <v>1</v>
      </c>
      <c r="L11" s="24">
        <v>0</v>
      </c>
      <c r="M11" s="24">
        <v>41</v>
      </c>
      <c r="N11" s="65">
        <v>65.479268292682917</v>
      </c>
      <c r="O11" s="65">
        <f t="shared" si="0"/>
        <v>4287.5345761451508</v>
      </c>
      <c r="P11" s="65">
        <f t="shared" si="1"/>
        <v>175788.91762195117</v>
      </c>
      <c r="Q11" s="65">
        <f t="shared" si="2"/>
        <v>22.455728732898024</v>
      </c>
      <c r="R11" s="62"/>
      <c r="S11" s="62"/>
      <c r="T11" s="62"/>
      <c r="U11" s="62"/>
    </row>
    <row r="12" spans="2:21" x14ac:dyDescent="0.3">
      <c r="B12" s="82">
        <v>173.59999999999994</v>
      </c>
      <c r="C12" s="78">
        <v>0</v>
      </c>
      <c r="D12" s="24">
        <v>0</v>
      </c>
      <c r="E12" s="24">
        <v>0</v>
      </c>
      <c r="F12" s="24">
        <v>3</v>
      </c>
      <c r="G12" s="24">
        <v>7</v>
      </c>
      <c r="H12" s="24">
        <v>13</v>
      </c>
      <c r="I12" s="24">
        <v>3</v>
      </c>
      <c r="J12" s="24">
        <v>8</v>
      </c>
      <c r="K12" s="24">
        <v>1</v>
      </c>
      <c r="L12" s="24">
        <v>1</v>
      </c>
      <c r="M12" s="24">
        <v>36</v>
      </c>
      <c r="N12" s="65">
        <v>69.169444444444437</v>
      </c>
      <c r="O12" s="65">
        <f t="shared" si="0"/>
        <v>4784.4120447530859</v>
      </c>
      <c r="P12" s="65">
        <f t="shared" si="1"/>
        <v>172238.8336111111</v>
      </c>
      <c r="Q12" s="65">
        <f t="shared" si="2"/>
        <v>19.835455246914535</v>
      </c>
      <c r="R12" s="62"/>
      <c r="S12" s="62"/>
      <c r="T12" s="62"/>
      <c r="U12" s="62"/>
    </row>
    <row r="13" spans="2:21" x14ac:dyDescent="0.3">
      <c r="B13" s="82">
        <v>176.79999999999993</v>
      </c>
      <c r="C13" s="78">
        <v>0</v>
      </c>
      <c r="D13" s="24">
        <v>0</v>
      </c>
      <c r="E13" s="24">
        <v>1</v>
      </c>
      <c r="F13" s="24">
        <v>1</v>
      </c>
      <c r="G13" s="24">
        <v>2</v>
      </c>
      <c r="H13" s="24">
        <v>4</v>
      </c>
      <c r="I13" s="24">
        <v>6</v>
      </c>
      <c r="J13" s="24">
        <v>2</v>
      </c>
      <c r="K13" s="24">
        <v>2</v>
      </c>
      <c r="L13" s="24">
        <v>1</v>
      </c>
      <c r="M13" s="24">
        <v>19</v>
      </c>
      <c r="N13" s="65">
        <v>70.171052631578959</v>
      </c>
      <c r="O13" s="65">
        <f t="shared" si="0"/>
        <v>4923.9766274238245</v>
      </c>
      <c r="P13" s="65">
        <f t="shared" si="1"/>
        <v>93555.55592105267</v>
      </c>
      <c r="Q13" s="65">
        <f t="shared" si="2"/>
        <v>27.365872576176116</v>
      </c>
      <c r="R13" s="62"/>
      <c r="S13" s="62"/>
      <c r="T13" s="62"/>
      <c r="U13" s="62"/>
    </row>
    <row r="14" spans="2:21" x14ac:dyDescent="0.3">
      <c r="B14" s="82">
        <v>179.99999999999991</v>
      </c>
      <c r="C14" s="78">
        <v>0</v>
      </c>
      <c r="D14" s="24">
        <v>0</v>
      </c>
      <c r="E14" s="24">
        <v>0</v>
      </c>
      <c r="F14" s="24">
        <v>0</v>
      </c>
      <c r="G14" s="24">
        <v>2</v>
      </c>
      <c r="H14" s="24">
        <v>1</v>
      </c>
      <c r="I14" s="24">
        <v>1</v>
      </c>
      <c r="J14" s="24">
        <v>1</v>
      </c>
      <c r="K14" s="24">
        <v>1</v>
      </c>
      <c r="L14" s="24">
        <v>0</v>
      </c>
      <c r="M14" s="24">
        <v>6</v>
      </c>
      <c r="N14" s="65">
        <v>70.116666666666674</v>
      </c>
      <c r="O14" s="65">
        <f t="shared" si="0"/>
        <v>4916.3469444444454</v>
      </c>
      <c r="P14" s="65">
        <f t="shared" si="1"/>
        <v>29498.081666666672</v>
      </c>
      <c r="Q14" s="65">
        <f t="shared" si="2"/>
        <v>21.355555555554929</v>
      </c>
      <c r="R14" s="62"/>
      <c r="S14" s="62"/>
      <c r="T14" s="62"/>
      <c r="U14" s="62"/>
    </row>
    <row r="15" spans="2:21" x14ac:dyDescent="0.3">
      <c r="B15" s="82">
        <v>183.1999999999999</v>
      </c>
      <c r="C15" s="78">
        <v>0</v>
      </c>
      <c r="D15" s="24">
        <v>0</v>
      </c>
      <c r="E15" s="24">
        <v>0</v>
      </c>
      <c r="F15" s="24">
        <v>0</v>
      </c>
      <c r="G15" s="24">
        <v>0</v>
      </c>
      <c r="H15" s="24">
        <v>1</v>
      </c>
      <c r="I15" s="24">
        <v>1</v>
      </c>
      <c r="J15" s="24">
        <v>1</v>
      </c>
      <c r="K15" s="24">
        <v>1</v>
      </c>
      <c r="L15" s="24">
        <v>0</v>
      </c>
      <c r="M15" s="24">
        <v>4</v>
      </c>
      <c r="N15" s="65">
        <v>72.699999999999989</v>
      </c>
      <c r="O15" s="65">
        <f t="shared" si="0"/>
        <v>5285.2899999999981</v>
      </c>
      <c r="P15" s="65">
        <f t="shared" si="1"/>
        <v>21141.159999999993</v>
      </c>
      <c r="Q15" s="65">
        <f t="shared" si="2"/>
        <v>12.012500000001637</v>
      </c>
      <c r="R15" s="62"/>
      <c r="S15" s="62"/>
      <c r="T15" s="62"/>
      <c r="U15" s="62"/>
    </row>
    <row r="16" spans="2:21" ht="15" thickBot="1" x14ac:dyDescent="0.35">
      <c r="B16" s="83">
        <v>186.39999999999986</v>
      </c>
      <c r="C16" s="78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1</v>
      </c>
      <c r="J16" s="24">
        <v>1</v>
      </c>
      <c r="K16" s="24">
        <v>0</v>
      </c>
      <c r="L16" s="24">
        <v>1</v>
      </c>
      <c r="M16" s="24">
        <v>3</v>
      </c>
      <c r="N16" s="65">
        <v>75.283333333333346</v>
      </c>
      <c r="O16" s="65">
        <f t="shared" si="0"/>
        <v>5667.5802777777799</v>
      </c>
      <c r="P16" s="65">
        <f t="shared" si="1"/>
        <v>17002.740833333341</v>
      </c>
      <c r="Q16" s="65">
        <f t="shared" si="2"/>
        <v>14.948888888887268</v>
      </c>
      <c r="R16" s="62"/>
      <c r="S16" s="62"/>
      <c r="T16" s="62"/>
      <c r="U16" s="62"/>
    </row>
    <row r="17" spans="2:21" x14ac:dyDescent="0.3">
      <c r="N17" s="62"/>
      <c r="O17" s="68"/>
      <c r="Q17" s="62"/>
      <c r="R17" s="62"/>
      <c r="S17" s="62"/>
      <c r="T17" s="62"/>
      <c r="U17" s="62"/>
    </row>
    <row r="18" spans="2:21" x14ac:dyDescent="0.3">
      <c r="B18" s="130" t="s">
        <v>38</v>
      </c>
      <c r="C18" s="130"/>
      <c r="D18" s="130"/>
      <c r="E18" s="14">
        <f>Среднее_выборочное_Вес</f>
        <v>65.120500000000007</v>
      </c>
      <c r="N18" s="62"/>
      <c r="O18" s="62"/>
      <c r="P18" s="62"/>
      <c r="Q18" s="62"/>
      <c r="R18" s="62"/>
      <c r="S18" s="62"/>
      <c r="T18" s="62"/>
      <c r="U18" s="62"/>
    </row>
    <row r="20" spans="2:21" x14ac:dyDescent="0.3">
      <c r="P20" s="68"/>
    </row>
    <row r="22" spans="2:21" x14ac:dyDescent="0.3">
      <c r="B22" s="130" t="s">
        <v>96</v>
      </c>
      <c r="C22" s="130"/>
      <c r="D22" s="130"/>
      <c r="E22" s="14">
        <f>SUM(P7:P16)/Мощность-POWER(Среднее_выборочное_Вес,2)</f>
        <v>18.087246012999458</v>
      </c>
    </row>
    <row r="23" spans="2:21" x14ac:dyDescent="0.3">
      <c r="B23" s="130" t="s">
        <v>98</v>
      </c>
      <c r="C23" s="130"/>
      <c r="D23" s="130"/>
      <c r="E23" s="14">
        <f>SUMPRODUCT(M7:M16,Q7:Q16)/Мощность</f>
        <v>22.29373373700102</v>
      </c>
    </row>
    <row r="25" spans="2:21" x14ac:dyDescent="0.3">
      <c r="B25" s="130" t="s">
        <v>99</v>
      </c>
      <c r="C25" s="130"/>
      <c r="D25" s="130"/>
      <c r="E25" s="14">
        <f>межгрупповая_дисперсия+внутригрупповая_дисперсия</f>
        <v>40.380979750000478</v>
      </c>
      <c r="G25" s="112" t="s">
        <v>100</v>
      </c>
      <c r="H25" s="112"/>
      <c r="I25" s="112"/>
      <c r="J25" s="112"/>
      <c r="K25" s="112"/>
      <c r="L25" s="112"/>
      <c r="M25" s="112"/>
      <c r="N25" s="112"/>
      <c r="O25" s="112"/>
      <c r="P25" s="112"/>
      <c r="Q25" s="112"/>
    </row>
    <row r="26" spans="2:21" x14ac:dyDescent="0.3"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</row>
  </sheetData>
  <mergeCells count="6">
    <mergeCell ref="B3:G3"/>
    <mergeCell ref="B18:D18"/>
    <mergeCell ref="B22:D22"/>
    <mergeCell ref="B23:D23"/>
    <mergeCell ref="B25:D25"/>
    <mergeCell ref="G25:Q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B8AA-709B-4C51-961E-E3164A9534CD}">
  <dimension ref="A3:H14"/>
  <sheetViews>
    <sheetView workbookViewId="0">
      <selection activeCell="M30" sqref="M30"/>
    </sheetView>
  </sheetViews>
  <sheetFormatPr defaultRowHeight="14.4" x14ac:dyDescent="0.3"/>
  <cols>
    <col min="1" max="16384" width="8.88671875" style="14"/>
  </cols>
  <sheetData>
    <row r="3" spans="1:8" x14ac:dyDescent="0.3">
      <c r="A3" s="128" t="s">
        <v>101</v>
      </c>
      <c r="B3" s="128"/>
      <c r="C3" s="128"/>
      <c r="D3" s="128"/>
      <c r="E3" s="128"/>
      <c r="F3" s="128"/>
      <c r="G3" s="128"/>
      <c r="H3" s="128"/>
    </row>
    <row r="6" spans="1:8" x14ac:dyDescent="0.3">
      <c r="A6" s="130" t="s">
        <v>96</v>
      </c>
      <c r="B6" s="130"/>
      <c r="C6" s="130"/>
      <c r="D6" s="14">
        <f>межгрупповая_дисперсия</f>
        <v>18.087246012999458</v>
      </c>
    </row>
    <row r="7" spans="1:8" x14ac:dyDescent="0.3">
      <c r="A7" s="130" t="s">
        <v>98</v>
      </c>
      <c r="B7" s="129"/>
      <c r="C7" s="129"/>
      <c r="D7" s="14">
        <f>внутригрупповая_дисперсия</f>
        <v>22.29373373700102</v>
      </c>
    </row>
    <row r="8" spans="1:8" x14ac:dyDescent="0.3">
      <c r="A8" s="130" t="s">
        <v>9</v>
      </c>
      <c r="B8" s="130"/>
      <c r="C8" s="130"/>
      <c r="D8" s="14">
        <f>количество_интервалов</f>
        <v>10</v>
      </c>
    </row>
    <row r="10" spans="1:8" x14ac:dyDescent="0.3">
      <c r="A10" s="130" t="s">
        <v>102</v>
      </c>
      <c r="B10" s="130"/>
      <c r="C10" s="130"/>
      <c r="D10" s="14">
        <f>(Мощность-количество_интервалов)/(количество_интервалов-1)*межгрупповая_дисперсия/внутригрупповая_дисперсия</f>
        <v>17.127766249432153</v>
      </c>
    </row>
    <row r="11" spans="1:8" x14ac:dyDescent="0.3">
      <c r="A11" s="130" t="s">
        <v>103</v>
      </c>
      <c r="B11" s="130"/>
      <c r="C11" s="130"/>
      <c r="D11" s="14">
        <f>_xlfn.F.INV.RT(уровень_значимости, количество_интервалов-1,Мощность-количество_интервалов)</f>
        <v>1.9294247566488121</v>
      </c>
    </row>
    <row r="13" spans="1:8" x14ac:dyDescent="0.3">
      <c r="A13" s="112" t="s">
        <v>104</v>
      </c>
      <c r="B13" s="112"/>
      <c r="C13" s="112"/>
      <c r="D13" s="112"/>
      <c r="E13" s="112"/>
      <c r="F13" s="112"/>
      <c r="G13" s="112"/>
      <c r="H13" s="112"/>
    </row>
    <row r="14" spans="1:8" x14ac:dyDescent="0.3">
      <c r="A14" s="112"/>
      <c r="B14" s="112"/>
      <c r="C14" s="112"/>
      <c r="D14" s="112"/>
      <c r="E14" s="112"/>
      <c r="F14" s="112"/>
      <c r="G14" s="112"/>
      <c r="H14" s="112"/>
    </row>
  </sheetData>
  <mergeCells count="7">
    <mergeCell ref="A13:H14"/>
    <mergeCell ref="A3:H3"/>
    <mergeCell ref="A6:C6"/>
    <mergeCell ref="A7:C7"/>
    <mergeCell ref="A8:C8"/>
    <mergeCell ref="A10:C10"/>
    <mergeCell ref="A11:C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E576-B875-464F-AC27-CB47BC606562}">
  <dimension ref="B2:O26"/>
  <sheetViews>
    <sheetView workbookViewId="0">
      <selection activeCell="I32" sqref="I32"/>
    </sheetView>
  </sheetViews>
  <sheetFormatPr defaultRowHeight="14.4" x14ac:dyDescent="0.3"/>
  <sheetData>
    <row r="2" spans="2:15" ht="15.6" customHeight="1" x14ac:dyDescent="0.3">
      <c r="B2" s="134" t="s">
        <v>105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</row>
    <row r="3" spans="2:15" ht="14.4" customHeight="1" x14ac:dyDescent="0.3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</row>
    <row r="4" spans="2:15" x14ac:dyDescent="0.3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7" spans="2:15" x14ac:dyDescent="0.3">
      <c r="B7" t="str" cm="1">
        <f t="array" ref="B7:N17">частотная_таблица_выборочные_средние</f>
        <v>a_i/b_i</v>
      </c>
      <c r="C7">
        <v>52.55</v>
      </c>
      <c r="D7">
        <v>55.650000000000006</v>
      </c>
      <c r="E7">
        <v>58.75</v>
      </c>
      <c r="F7">
        <v>61.849999999999994</v>
      </c>
      <c r="G7">
        <v>64.95</v>
      </c>
      <c r="H7">
        <v>68.05</v>
      </c>
      <c r="I7">
        <v>71.150000000000006</v>
      </c>
      <c r="J7">
        <v>74.25</v>
      </c>
      <c r="K7">
        <v>77.349999999999994</v>
      </c>
      <c r="L7">
        <v>80.45</v>
      </c>
      <c r="M7" t="str">
        <v>Σv_i</v>
      </c>
      <c r="N7" t="str">
        <v>Y_x</v>
      </c>
      <c r="O7" t="s">
        <v>106</v>
      </c>
    </row>
    <row r="8" spans="2:15" x14ac:dyDescent="0.3">
      <c r="B8">
        <v>157.6</v>
      </c>
      <c r="C8">
        <v>3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6</v>
      </c>
      <c r="N8">
        <v>56.68333333333333</v>
      </c>
      <c r="O8">
        <f>B8*SUMPRODUCT($C$7:$L$7,C8:L8)</f>
        <v>53599.759999999995</v>
      </c>
    </row>
    <row r="9" spans="2:15" x14ac:dyDescent="0.3">
      <c r="B9">
        <v>160.79999999999998</v>
      </c>
      <c r="C9">
        <v>4</v>
      </c>
      <c r="D9">
        <v>5</v>
      </c>
      <c r="E9">
        <v>3</v>
      </c>
      <c r="F9">
        <v>3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58.75</v>
      </c>
      <c r="O9">
        <f t="shared" ref="O9:O17" si="0">B9*SUMPRODUCT($C$7:$L$7,C9:L9)</f>
        <v>188939.99999999997</v>
      </c>
    </row>
    <row r="10" spans="2:15" x14ac:dyDescent="0.3">
      <c r="B10">
        <v>163.99999999999997</v>
      </c>
      <c r="C10">
        <v>2</v>
      </c>
      <c r="D10">
        <v>4</v>
      </c>
      <c r="E10">
        <v>6</v>
      </c>
      <c r="F10">
        <v>13</v>
      </c>
      <c r="G10">
        <v>5</v>
      </c>
      <c r="H10">
        <v>1</v>
      </c>
      <c r="I10">
        <v>1</v>
      </c>
      <c r="J10">
        <v>0</v>
      </c>
      <c r="K10">
        <v>0</v>
      </c>
      <c r="L10">
        <v>0</v>
      </c>
      <c r="M10">
        <v>32</v>
      </c>
      <c r="N10">
        <v>60.881250000000001</v>
      </c>
      <c r="O10">
        <f t="shared" si="0"/>
        <v>319504.79999999993</v>
      </c>
    </row>
    <row r="11" spans="2:15" x14ac:dyDescent="0.3">
      <c r="B11">
        <v>167.19999999999996</v>
      </c>
      <c r="C11">
        <v>0</v>
      </c>
      <c r="D11">
        <v>4</v>
      </c>
      <c r="E11">
        <v>4</v>
      </c>
      <c r="F11">
        <v>8</v>
      </c>
      <c r="G11">
        <v>5</v>
      </c>
      <c r="H11">
        <v>8</v>
      </c>
      <c r="I11">
        <v>2</v>
      </c>
      <c r="J11">
        <v>1</v>
      </c>
      <c r="K11">
        <v>1</v>
      </c>
      <c r="L11">
        <v>0</v>
      </c>
      <c r="M11">
        <v>33</v>
      </c>
      <c r="N11">
        <v>64.104545454545459</v>
      </c>
      <c r="O11">
        <f t="shared" si="0"/>
        <v>353703.23999999993</v>
      </c>
    </row>
    <row r="12" spans="2:15" x14ac:dyDescent="0.3">
      <c r="B12">
        <v>170.39999999999995</v>
      </c>
      <c r="C12">
        <v>0</v>
      </c>
      <c r="D12">
        <v>2</v>
      </c>
      <c r="E12">
        <v>3</v>
      </c>
      <c r="F12">
        <v>8</v>
      </c>
      <c r="G12">
        <v>12</v>
      </c>
      <c r="H12">
        <v>9</v>
      </c>
      <c r="I12">
        <v>4</v>
      </c>
      <c r="J12">
        <v>2</v>
      </c>
      <c r="K12">
        <v>1</v>
      </c>
      <c r="L12">
        <v>0</v>
      </c>
      <c r="M12">
        <v>41</v>
      </c>
      <c r="N12">
        <v>65.479268292682917</v>
      </c>
      <c r="O12">
        <f t="shared" si="0"/>
        <v>457464.35999999981</v>
      </c>
    </row>
    <row r="13" spans="2:15" x14ac:dyDescent="0.3">
      <c r="B13">
        <v>173.59999999999994</v>
      </c>
      <c r="C13">
        <v>0</v>
      </c>
      <c r="D13">
        <v>0</v>
      </c>
      <c r="E13">
        <v>0</v>
      </c>
      <c r="F13">
        <v>3</v>
      </c>
      <c r="G13">
        <v>7</v>
      </c>
      <c r="H13">
        <v>13</v>
      </c>
      <c r="I13">
        <v>3</v>
      </c>
      <c r="J13">
        <v>8</v>
      </c>
      <c r="K13">
        <v>1</v>
      </c>
      <c r="L13">
        <v>1</v>
      </c>
      <c r="M13">
        <v>36</v>
      </c>
      <c r="N13">
        <v>69.169444444444437</v>
      </c>
      <c r="O13">
        <f t="shared" si="0"/>
        <v>432281.35999999981</v>
      </c>
    </row>
    <row r="14" spans="2:15" x14ac:dyDescent="0.3">
      <c r="B14">
        <v>176.79999999999993</v>
      </c>
      <c r="C14">
        <v>0</v>
      </c>
      <c r="D14">
        <v>0</v>
      </c>
      <c r="E14">
        <v>1</v>
      </c>
      <c r="F14">
        <v>1</v>
      </c>
      <c r="G14">
        <v>2</v>
      </c>
      <c r="H14">
        <v>4</v>
      </c>
      <c r="I14">
        <v>6</v>
      </c>
      <c r="J14">
        <v>2</v>
      </c>
      <c r="K14">
        <v>2</v>
      </c>
      <c r="L14">
        <v>1</v>
      </c>
      <c r="M14">
        <v>19</v>
      </c>
      <c r="N14">
        <v>70.171052631578959</v>
      </c>
      <c r="O14">
        <f t="shared" si="0"/>
        <v>235718.59999999995</v>
      </c>
    </row>
    <row r="15" spans="2:15" x14ac:dyDescent="0.3">
      <c r="B15">
        <v>179.99999999999991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6</v>
      </c>
      <c r="N15">
        <v>70.116666666666674</v>
      </c>
      <c r="O15">
        <f t="shared" si="0"/>
        <v>75725.999999999971</v>
      </c>
    </row>
    <row r="16" spans="2:15" x14ac:dyDescent="0.3">
      <c r="B16">
        <v>183.1999999999999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4</v>
      </c>
      <c r="N16">
        <v>72.699999999999989</v>
      </c>
      <c r="O16">
        <f t="shared" si="0"/>
        <v>53274.559999999961</v>
      </c>
    </row>
    <row r="17" spans="2:15" x14ac:dyDescent="0.3">
      <c r="B17">
        <v>186.39999999999986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3</v>
      </c>
      <c r="N17">
        <v>75.283333333333346</v>
      </c>
      <c r="O17">
        <f t="shared" si="0"/>
        <v>42098.439999999973</v>
      </c>
    </row>
    <row r="18" spans="2:15" x14ac:dyDescent="0.3">
      <c r="N18" s="90" t="s">
        <v>107</v>
      </c>
      <c r="O18">
        <f>SUM(O8:O17)/Мощность</f>
        <v>11061.555599999996</v>
      </c>
    </row>
    <row r="20" spans="2:15" x14ac:dyDescent="0.3">
      <c r="B20" s="130" t="s">
        <v>108</v>
      </c>
      <c r="C20" s="130"/>
      <c r="D20" s="130"/>
      <c r="E20" s="130"/>
      <c r="F20" s="130"/>
      <c r="G20">
        <f>(O18-Среднее_выборочное_Вес*Среднее_выборочное_Рост)/СКО_Вес/СКО_Рост</f>
        <v>0.65737554850739366</v>
      </c>
      <c r="I20" s="112" t="s">
        <v>109</v>
      </c>
      <c r="J20" s="112"/>
      <c r="K20" s="112"/>
      <c r="L20" s="112"/>
      <c r="M20" s="112"/>
    </row>
    <row r="21" spans="2:15" x14ac:dyDescent="0.3">
      <c r="I21" s="112"/>
      <c r="J21" s="112"/>
      <c r="K21" s="112"/>
      <c r="L21" s="112"/>
      <c r="M21" s="112"/>
    </row>
    <row r="23" spans="2:15" x14ac:dyDescent="0.3">
      <c r="B23" s="130" t="s">
        <v>110</v>
      </c>
      <c r="C23" s="130"/>
      <c r="D23" s="130"/>
      <c r="E23" s="130"/>
      <c r="F23" s="130"/>
      <c r="G23" s="130"/>
      <c r="H23" s="130"/>
    </row>
    <row r="25" spans="2:15" x14ac:dyDescent="0.3">
      <c r="B25" s="129" t="s">
        <v>111</v>
      </c>
      <c r="C25" s="129"/>
      <c r="D25" s="24" t="s">
        <v>47</v>
      </c>
      <c r="E25" s="34">
        <f>-СКО_Вес/СКО_Рост*выборочный_коэфф_корреляции*Среднее_выборочное_Рост+Среднее_выборочное_Вес</f>
        <v>-51.06235313986835</v>
      </c>
    </row>
    <row r="26" spans="2:15" x14ac:dyDescent="0.3">
      <c r="D26" s="24" t="s">
        <v>112</v>
      </c>
      <c r="E26" s="34">
        <f>выборочный_коэфф_корреляции*СКО_Вес/СКО_Рост</f>
        <v>0.68555780978491088</v>
      </c>
    </row>
  </sheetData>
  <mergeCells count="5">
    <mergeCell ref="B25:C25"/>
    <mergeCell ref="B2:L4"/>
    <mergeCell ref="B20:F20"/>
    <mergeCell ref="I20:M21"/>
    <mergeCell ref="B23:H2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3AFA-3C6B-47B6-8DE3-8486097EBA03}">
  <dimension ref="A2:K14"/>
  <sheetViews>
    <sheetView workbookViewId="0">
      <selection activeCell="N10" sqref="N10"/>
    </sheetView>
  </sheetViews>
  <sheetFormatPr defaultRowHeight="14.4" x14ac:dyDescent="0.3"/>
  <cols>
    <col min="3" max="3" width="16.88671875" customWidth="1"/>
    <col min="9" max="9" width="21.6640625" customWidth="1"/>
  </cols>
  <sheetData>
    <row r="2" spans="1:11" ht="15.6" x14ac:dyDescent="0.3">
      <c r="B2" s="135" t="s">
        <v>113</v>
      </c>
      <c r="C2" s="135"/>
      <c r="D2" s="135"/>
      <c r="E2" s="135"/>
      <c r="F2" s="135"/>
      <c r="G2" s="135"/>
      <c r="H2" s="135"/>
      <c r="I2" s="135"/>
      <c r="J2" s="135"/>
      <c r="K2" s="135"/>
    </row>
    <row r="3" spans="1:11" ht="15" thickBot="1" x14ac:dyDescent="0.35"/>
    <row r="4" spans="1:11" ht="15" thickBot="1" x14ac:dyDescent="0.35">
      <c r="B4" s="92" t="s">
        <v>115</v>
      </c>
      <c r="C4" s="93" t="s">
        <v>120</v>
      </c>
      <c r="E4" t="s">
        <v>121</v>
      </c>
      <c r="H4" s="92" t="s">
        <v>114</v>
      </c>
      <c r="I4" s="93" t="s">
        <v>122</v>
      </c>
    </row>
    <row r="5" spans="1:11" x14ac:dyDescent="0.3">
      <c r="A5" t="s">
        <v>116</v>
      </c>
      <c r="B5" s="91">
        <v>156</v>
      </c>
      <c r="C5" s="91">
        <f>a+b*B5</f>
        <v>55.884665186577749</v>
      </c>
      <c r="E5" s="34" t="s">
        <v>47</v>
      </c>
      <c r="F5" s="34">
        <f>a</f>
        <v>-51.06235313986835</v>
      </c>
      <c r="H5" s="91" cm="1">
        <f t="array" ref="H5:H14">a_i_середины</f>
        <v>157.6</v>
      </c>
      <c r="I5" s="91" cm="1">
        <f t="array" ref="I5:I14">Y_x</f>
        <v>56.68333333333333</v>
      </c>
    </row>
    <row r="6" spans="1:11" x14ac:dyDescent="0.3">
      <c r="A6" t="s">
        <v>117</v>
      </c>
      <c r="B6" s="34">
        <v>169.47200000000001</v>
      </c>
      <c r="C6" s="91">
        <f>a+b*B6</f>
        <v>65.120500000000078</v>
      </c>
      <c r="E6" s="34" t="s">
        <v>112</v>
      </c>
      <c r="F6" s="34">
        <f>b</f>
        <v>0.68555780978491088</v>
      </c>
      <c r="H6" s="34">
        <v>160.79999999999998</v>
      </c>
      <c r="I6" s="34">
        <v>58.75</v>
      </c>
    </row>
    <row r="7" spans="1:11" x14ac:dyDescent="0.3">
      <c r="A7" t="s">
        <v>118</v>
      </c>
      <c r="B7" s="34">
        <v>170.4</v>
      </c>
      <c r="C7" s="91">
        <f>a+b*B7</f>
        <v>65.756697647480465</v>
      </c>
      <c r="H7" s="34">
        <v>163.99999999999997</v>
      </c>
      <c r="I7" s="34">
        <v>60.881250000000001</v>
      </c>
    </row>
    <row r="8" spans="1:11" x14ac:dyDescent="0.3">
      <c r="A8" t="s">
        <v>119</v>
      </c>
      <c r="B8" s="34">
        <v>188</v>
      </c>
      <c r="C8" s="91">
        <f>a+b*B8</f>
        <v>77.822515099694897</v>
      </c>
      <c r="H8" s="34">
        <v>167.19999999999996</v>
      </c>
      <c r="I8" s="34">
        <v>64.104545454545459</v>
      </c>
    </row>
    <row r="9" spans="1:11" x14ac:dyDescent="0.3">
      <c r="H9" s="34">
        <v>170.39999999999995</v>
      </c>
      <c r="I9" s="34">
        <v>65.479268292682917</v>
      </c>
    </row>
    <row r="10" spans="1:11" x14ac:dyDescent="0.3">
      <c r="H10" s="34">
        <v>173.59999999999994</v>
      </c>
      <c r="I10" s="34">
        <v>69.169444444444437</v>
      </c>
    </row>
    <row r="11" spans="1:11" x14ac:dyDescent="0.3">
      <c r="H11" s="34">
        <v>176.79999999999993</v>
      </c>
      <c r="I11" s="34">
        <v>70.171052631578959</v>
      </c>
    </row>
    <row r="12" spans="1:11" x14ac:dyDescent="0.3">
      <c r="H12" s="34">
        <v>179.99999999999991</v>
      </c>
      <c r="I12" s="34">
        <v>70.116666666666674</v>
      </c>
    </row>
    <row r="13" spans="1:11" x14ac:dyDescent="0.3">
      <c r="H13" s="34">
        <v>183.1999999999999</v>
      </c>
      <c r="I13" s="34">
        <v>72.699999999999989</v>
      </c>
    </row>
    <row r="14" spans="1:11" x14ac:dyDescent="0.3">
      <c r="H14" s="34">
        <v>186.39999999999986</v>
      </c>
      <c r="I14" s="34">
        <v>75.283333333333346</v>
      </c>
    </row>
  </sheetData>
  <mergeCells count="1">
    <mergeCell ref="B2:K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F84-B696-422C-8F60-D0EFA6D06747}">
  <dimension ref="B2:M12"/>
  <sheetViews>
    <sheetView workbookViewId="0">
      <selection activeCell="G29" sqref="G29"/>
    </sheetView>
  </sheetViews>
  <sheetFormatPr defaultRowHeight="14.4" x14ac:dyDescent="0.3"/>
  <sheetData>
    <row r="2" spans="2:13" ht="15.6" x14ac:dyDescent="0.3">
      <c r="B2" s="136" t="s">
        <v>123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4" spans="2:13" x14ac:dyDescent="0.3">
      <c r="B4" s="129" t="s">
        <v>124</v>
      </c>
      <c r="C4" s="129"/>
    </row>
    <row r="6" spans="2:13" x14ac:dyDescent="0.3">
      <c r="B6" s="130" t="s">
        <v>99</v>
      </c>
      <c r="C6" s="130"/>
      <c r="D6" s="130"/>
      <c r="E6">
        <f>межгрупповая_дисперсия+внутригрупповая_дисперсия</f>
        <v>40.380979750000478</v>
      </c>
    </row>
    <row r="7" spans="2:13" x14ac:dyDescent="0.3">
      <c r="B7" s="130" t="s">
        <v>96</v>
      </c>
      <c r="C7" s="130"/>
      <c r="D7" s="130"/>
      <c r="E7">
        <f>межгрупповая_дисперсия</f>
        <v>18.087246012999458</v>
      </c>
    </row>
    <row r="8" spans="2:13" x14ac:dyDescent="0.3">
      <c r="G8" s="14" t="s">
        <v>128</v>
      </c>
      <c r="H8" s="14"/>
      <c r="I8" s="14" t="s">
        <v>127</v>
      </c>
    </row>
    <row r="9" spans="2:13" x14ac:dyDescent="0.3">
      <c r="B9" s="130" t="s">
        <v>125</v>
      </c>
      <c r="C9" s="130"/>
      <c r="D9" s="130"/>
      <c r="E9" s="130"/>
      <c r="F9" s="130"/>
      <c r="G9">
        <f>SQRT(E7/E6)</f>
        <v>0.66926451185787894</v>
      </c>
      <c r="H9" s="14" t="s">
        <v>126</v>
      </c>
      <c r="I9">
        <f>выборочный_коэфф_корреляции</f>
        <v>0.65737554850739366</v>
      </c>
    </row>
    <row r="11" spans="2:13" x14ac:dyDescent="0.3">
      <c r="B11" s="131" t="s">
        <v>129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</row>
    <row r="12" spans="2:13" x14ac:dyDescent="0.3"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</row>
  </sheetData>
  <mergeCells count="6">
    <mergeCell ref="B11:M12"/>
    <mergeCell ref="B2:L2"/>
    <mergeCell ref="B4:C4"/>
    <mergeCell ref="B6:D6"/>
    <mergeCell ref="B7:D7"/>
    <mergeCell ref="B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C51E-CB78-474E-B2A7-5A71827B5C1D}">
  <dimension ref="B1:X203"/>
  <sheetViews>
    <sheetView tabSelected="1" workbookViewId="0">
      <selection activeCell="F29" sqref="F29"/>
    </sheetView>
  </sheetViews>
  <sheetFormatPr defaultRowHeight="14.4" x14ac:dyDescent="0.3"/>
  <cols>
    <col min="22" max="22" width="11.33203125" customWidth="1"/>
  </cols>
  <sheetData>
    <row r="1" spans="2:24" x14ac:dyDescent="0.3">
      <c r="P1" t="s">
        <v>1</v>
      </c>
      <c r="Q1" t="s">
        <v>2</v>
      </c>
      <c r="U1" t="s">
        <v>152</v>
      </c>
      <c r="W1" t="s">
        <v>155</v>
      </c>
    </row>
    <row r="2" spans="2:24" ht="15.6" x14ac:dyDescent="0.3">
      <c r="B2" s="135" t="s">
        <v>130</v>
      </c>
      <c r="C2" s="135"/>
      <c r="D2" s="135"/>
      <c r="E2" s="135"/>
      <c r="F2" s="135"/>
      <c r="G2" s="135"/>
      <c r="H2" s="135"/>
      <c r="I2" s="135"/>
      <c r="J2" s="135"/>
      <c r="O2" t="s">
        <v>14</v>
      </c>
      <c r="P2" t="s">
        <v>114</v>
      </c>
      <c r="Q2" t="s">
        <v>147</v>
      </c>
      <c r="R2" t="s">
        <v>148</v>
      </c>
      <c r="S2" t="s">
        <v>149</v>
      </c>
      <c r="T2" t="s">
        <v>150</v>
      </c>
      <c r="U2" t="s">
        <v>151</v>
      </c>
      <c r="V2" t="s">
        <v>153</v>
      </c>
      <c r="W2" t="s">
        <v>154</v>
      </c>
      <c r="X2" t="s">
        <v>156</v>
      </c>
    </row>
    <row r="3" spans="2:24" x14ac:dyDescent="0.3">
      <c r="O3">
        <v>1</v>
      </c>
      <c r="P3" cm="1">
        <f t="array" ref="P3:P202">Рост</f>
        <v>176</v>
      </c>
      <c r="Q3" cm="1">
        <f t="array" ref="Q3:Q202">Вес</f>
        <v>65</v>
      </c>
      <c r="R3">
        <f>P3*P3</f>
        <v>30976</v>
      </c>
      <c r="S3">
        <f>Q3*Q3</f>
        <v>4225</v>
      </c>
      <c r="T3">
        <f>P3*Q3</f>
        <v>11440</v>
      </c>
      <c r="U3">
        <f>$I$4*P3+$I$5</f>
        <v>69.796586145478514</v>
      </c>
      <c r="V3">
        <f>U3*U3</f>
        <v>4871.5634375632035</v>
      </c>
      <c r="W3">
        <f>Q3-U3</f>
        <v>-4.7965861454785141</v>
      </c>
      <c r="X3">
        <f>W3*W3</f>
        <v>23.007238650996431</v>
      </c>
    </row>
    <row r="4" spans="2:24" x14ac:dyDescent="0.3">
      <c r="B4" s="138" t="s">
        <v>141</v>
      </c>
      <c r="C4" cm="1">
        <f t="array" ref="C4:D8">LINEST(Вес,Рост,1,1)</f>
        <v>0.67824431526507989</v>
      </c>
      <c r="D4">
        <v>-49.574413341175543</v>
      </c>
      <c r="F4" s="130" t="s">
        <v>131</v>
      </c>
      <c r="G4" s="130"/>
      <c r="H4" s="130"/>
      <c r="I4">
        <f>C4</f>
        <v>0.67824431526507989</v>
      </c>
      <c r="O4">
        <v>2</v>
      </c>
      <c r="P4">
        <v>171</v>
      </c>
      <c r="Q4">
        <v>70</v>
      </c>
      <c r="R4">
        <f t="shared" ref="R4:R67" si="0">P4*P4</f>
        <v>29241</v>
      </c>
      <c r="S4">
        <f t="shared" ref="S4:S67" si="1">Q4*Q4</f>
        <v>4900</v>
      </c>
      <c r="T4">
        <f t="shared" ref="T4:T67" si="2">P4*Q4</f>
        <v>11970</v>
      </c>
      <c r="U4">
        <f t="shared" ref="U4:U67" si="3">$I$4*P4+$I$5</f>
        <v>66.405364569153122</v>
      </c>
      <c r="V4">
        <f t="shared" ref="V4:V67" si="4">U4*U4</f>
        <v>4409.6724435621363</v>
      </c>
      <c r="W4">
        <f t="shared" ref="W4:W67" si="5">Q4-U4</f>
        <v>3.5946354308468784</v>
      </c>
      <c r="X4">
        <f t="shared" ref="X4:X67" si="6">W4*W4</f>
        <v>12.921403880699723</v>
      </c>
    </row>
    <row r="5" spans="2:24" x14ac:dyDescent="0.3">
      <c r="C5">
        <v>5.5088044396437545E-2</v>
      </c>
      <c r="D5">
        <v>9.3369546962933025</v>
      </c>
      <c r="F5" s="130" t="s">
        <v>132</v>
      </c>
      <c r="G5" s="130"/>
      <c r="H5" s="130"/>
      <c r="I5">
        <f>D4</f>
        <v>-49.574413341175543</v>
      </c>
      <c r="O5">
        <v>3</v>
      </c>
      <c r="P5">
        <v>166</v>
      </c>
      <c r="Q5">
        <v>57</v>
      </c>
      <c r="R5">
        <f t="shared" si="0"/>
        <v>27556</v>
      </c>
      <c r="S5">
        <f t="shared" si="1"/>
        <v>3249</v>
      </c>
      <c r="T5">
        <f t="shared" si="2"/>
        <v>9462</v>
      </c>
      <c r="U5">
        <f t="shared" si="3"/>
        <v>63.014142992827715</v>
      </c>
      <c r="V5">
        <f t="shared" si="4"/>
        <v>3970.782217120538</v>
      </c>
      <c r="W5">
        <f t="shared" si="5"/>
        <v>-6.0141429928277148</v>
      </c>
      <c r="X5">
        <f t="shared" si="6"/>
        <v>36.169915938178704</v>
      </c>
    </row>
    <row r="6" spans="2:24" x14ac:dyDescent="0.3">
      <c r="C6">
        <v>0.43361492624622217</v>
      </c>
      <c r="D6">
        <v>4.6800057762506739</v>
      </c>
      <c r="F6" s="130" t="s">
        <v>133</v>
      </c>
      <c r="G6" s="130"/>
      <c r="H6" s="130"/>
      <c r="I6">
        <f>C5</f>
        <v>5.5088044396437545E-2</v>
      </c>
      <c r="O6">
        <v>4</v>
      </c>
      <c r="P6">
        <v>182</v>
      </c>
      <c r="Q6">
        <v>76</v>
      </c>
      <c r="R6">
        <f t="shared" si="0"/>
        <v>33124</v>
      </c>
      <c r="S6">
        <f t="shared" si="1"/>
        <v>5776</v>
      </c>
      <c r="T6">
        <f t="shared" si="2"/>
        <v>13832</v>
      </c>
      <c r="U6">
        <f t="shared" si="3"/>
        <v>73.866052037068997</v>
      </c>
      <c r="V6">
        <f t="shared" si="4"/>
        <v>5456.1936435429852</v>
      </c>
      <c r="W6">
        <f t="shared" si="5"/>
        <v>2.1339479629310034</v>
      </c>
      <c r="X6">
        <f t="shared" si="6"/>
        <v>4.5537339084973789</v>
      </c>
    </row>
    <row r="7" spans="2:24" x14ac:dyDescent="0.3">
      <c r="C7">
        <v>151.58548375530762</v>
      </c>
      <c r="D7">
        <v>198</v>
      </c>
      <c r="F7" s="130" t="s">
        <v>134</v>
      </c>
      <c r="G7" s="130"/>
      <c r="H7" s="130"/>
      <c r="I7">
        <f>D5</f>
        <v>9.3369546962933025</v>
      </c>
      <c r="O7">
        <v>5</v>
      </c>
      <c r="P7">
        <v>165</v>
      </c>
      <c r="Q7">
        <v>59</v>
      </c>
      <c r="R7">
        <f t="shared" si="0"/>
        <v>27225</v>
      </c>
      <c r="S7">
        <f t="shared" si="1"/>
        <v>3481</v>
      </c>
      <c r="T7">
        <f t="shared" si="2"/>
        <v>9735</v>
      </c>
      <c r="U7">
        <f t="shared" si="3"/>
        <v>62.335898677562639</v>
      </c>
      <c r="V7">
        <f t="shared" si="4"/>
        <v>3885.7642639393557</v>
      </c>
      <c r="W7">
        <f t="shared" si="5"/>
        <v>-3.3358986775626391</v>
      </c>
      <c r="X7">
        <f t="shared" si="6"/>
        <v>11.128219986964165</v>
      </c>
    </row>
    <row r="8" spans="2:24" x14ac:dyDescent="0.3">
      <c r="C8">
        <v>3320.0940949835522</v>
      </c>
      <c r="D8">
        <v>4336.6859050164549</v>
      </c>
      <c r="F8" s="130" t="s">
        <v>135</v>
      </c>
      <c r="G8" s="130"/>
      <c r="H8" s="130"/>
      <c r="I8">
        <f>C6</f>
        <v>0.43361492624622217</v>
      </c>
      <c r="O8">
        <v>6</v>
      </c>
      <c r="P8">
        <v>168</v>
      </c>
      <c r="Q8">
        <v>62</v>
      </c>
      <c r="R8">
        <f t="shared" si="0"/>
        <v>28224</v>
      </c>
      <c r="S8">
        <f t="shared" si="1"/>
        <v>3844</v>
      </c>
      <c r="T8">
        <f t="shared" si="2"/>
        <v>10416</v>
      </c>
      <c r="U8">
        <f t="shared" si="3"/>
        <v>64.37063162335788</v>
      </c>
      <c r="V8">
        <f t="shared" si="4"/>
        <v>4143.5782155900415</v>
      </c>
      <c r="W8">
        <f t="shared" si="5"/>
        <v>-2.3706316233578804</v>
      </c>
      <c r="X8">
        <f t="shared" si="6"/>
        <v>5.6198942936644194</v>
      </c>
    </row>
    <row r="9" spans="2:24" x14ac:dyDescent="0.3">
      <c r="F9" s="130" t="s">
        <v>136</v>
      </c>
      <c r="G9" s="129"/>
      <c r="H9" s="129"/>
      <c r="I9">
        <f>D6</f>
        <v>4.6800057762506739</v>
      </c>
      <c r="O9">
        <v>7</v>
      </c>
      <c r="P9">
        <v>170</v>
      </c>
      <c r="Q9">
        <v>76</v>
      </c>
      <c r="R9">
        <f t="shared" si="0"/>
        <v>28900</v>
      </c>
      <c r="S9">
        <f t="shared" si="1"/>
        <v>5776</v>
      </c>
      <c r="T9">
        <f t="shared" si="2"/>
        <v>12920</v>
      </c>
      <c r="U9">
        <f t="shared" si="3"/>
        <v>65.727120253888032</v>
      </c>
      <c r="V9">
        <f t="shared" si="4"/>
        <v>4320.0543368690587</v>
      </c>
      <c r="W9">
        <f t="shared" si="5"/>
        <v>10.272879746111968</v>
      </c>
      <c r="X9">
        <f t="shared" si="6"/>
        <v>105.5320582780775</v>
      </c>
    </row>
    <row r="10" spans="2:24" x14ac:dyDescent="0.3">
      <c r="F10" s="130" t="s">
        <v>137</v>
      </c>
      <c r="G10" s="130"/>
      <c r="H10" s="130"/>
      <c r="I10">
        <f>C7</f>
        <v>151.58548375530762</v>
      </c>
      <c r="O10">
        <v>8</v>
      </c>
      <c r="P10">
        <v>181</v>
      </c>
      <c r="Q10">
        <v>68</v>
      </c>
      <c r="R10">
        <f t="shared" si="0"/>
        <v>32761</v>
      </c>
      <c r="S10">
        <f t="shared" si="1"/>
        <v>4624</v>
      </c>
      <c r="T10">
        <f t="shared" si="2"/>
        <v>12308</v>
      </c>
      <c r="U10">
        <f t="shared" si="3"/>
        <v>73.187807721803921</v>
      </c>
      <c r="V10">
        <f t="shared" si="4"/>
        <v>5356.4551991237413</v>
      </c>
      <c r="W10">
        <f t="shared" si="5"/>
        <v>-5.1878077218039209</v>
      </c>
      <c r="X10">
        <f t="shared" si="6"/>
        <v>26.913348958408388</v>
      </c>
    </row>
    <row r="11" spans="2:24" x14ac:dyDescent="0.3">
      <c r="F11" s="130" t="s">
        <v>138</v>
      </c>
      <c r="G11" s="130"/>
      <c r="H11" s="130"/>
      <c r="I11">
        <f>D7</f>
        <v>198</v>
      </c>
      <c r="O11">
        <v>9</v>
      </c>
      <c r="P11">
        <v>161</v>
      </c>
      <c r="Q11">
        <v>66</v>
      </c>
      <c r="R11">
        <f t="shared" si="0"/>
        <v>25921</v>
      </c>
      <c r="S11">
        <f t="shared" si="1"/>
        <v>4356</v>
      </c>
      <c r="T11">
        <f t="shared" si="2"/>
        <v>10626</v>
      </c>
      <c r="U11">
        <f t="shared" si="3"/>
        <v>59.622921416502322</v>
      </c>
      <c r="V11">
        <f t="shared" si="4"/>
        <v>3554.8927582384113</v>
      </c>
      <c r="W11">
        <f t="shared" si="5"/>
        <v>6.3770785834976778</v>
      </c>
      <c r="X11">
        <f t="shared" si="6"/>
        <v>40.667131260104746</v>
      </c>
    </row>
    <row r="12" spans="2:24" x14ac:dyDescent="0.3">
      <c r="F12" s="130" t="s">
        <v>139</v>
      </c>
      <c r="G12" s="130"/>
      <c r="H12" s="130"/>
      <c r="I12">
        <f>C8</f>
        <v>3320.0940949835522</v>
      </c>
      <c r="J12">
        <f>I12/Мощность</f>
        <v>16.60047047491776</v>
      </c>
      <c r="O12">
        <v>10</v>
      </c>
      <c r="P12">
        <v>168</v>
      </c>
      <c r="Q12">
        <v>67</v>
      </c>
      <c r="R12">
        <f t="shared" si="0"/>
        <v>28224</v>
      </c>
      <c r="S12">
        <f t="shared" si="1"/>
        <v>4489</v>
      </c>
      <c r="T12">
        <f t="shared" si="2"/>
        <v>11256</v>
      </c>
      <c r="U12">
        <f t="shared" si="3"/>
        <v>64.37063162335788</v>
      </c>
      <c r="V12">
        <f t="shared" si="4"/>
        <v>4143.5782155900415</v>
      </c>
      <c r="W12">
        <f t="shared" si="5"/>
        <v>2.6293683766421196</v>
      </c>
      <c r="X12">
        <f t="shared" si="6"/>
        <v>6.9135780600856158</v>
      </c>
    </row>
    <row r="13" spans="2:24" x14ac:dyDescent="0.3">
      <c r="F13" s="130" t="s">
        <v>140</v>
      </c>
      <c r="G13" s="130"/>
      <c r="H13" s="130"/>
      <c r="I13">
        <f>D8</f>
        <v>4336.6859050164549</v>
      </c>
      <c r="J13">
        <f>I13/Мощность</f>
        <v>21.683429525082275</v>
      </c>
      <c r="O13">
        <v>11</v>
      </c>
      <c r="P13">
        <v>161</v>
      </c>
      <c r="Q13">
        <v>55</v>
      </c>
      <c r="R13">
        <f t="shared" si="0"/>
        <v>25921</v>
      </c>
      <c r="S13">
        <f t="shared" si="1"/>
        <v>3025</v>
      </c>
      <c r="T13">
        <f t="shared" si="2"/>
        <v>8855</v>
      </c>
      <c r="U13">
        <f t="shared" si="3"/>
        <v>59.622921416502322</v>
      </c>
      <c r="V13">
        <f t="shared" si="4"/>
        <v>3554.8927582384113</v>
      </c>
      <c r="W13">
        <f t="shared" si="5"/>
        <v>-4.6229214165023222</v>
      </c>
      <c r="X13">
        <f t="shared" si="6"/>
        <v>21.371402423155839</v>
      </c>
    </row>
    <row r="14" spans="2:24" x14ac:dyDescent="0.3">
      <c r="O14">
        <v>12</v>
      </c>
      <c r="P14">
        <v>161</v>
      </c>
      <c r="Q14">
        <v>66</v>
      </c>
      <c r="R14">
        <f t="shared" si="0"/>
        <v>25921</v>
      </c>
      <c r="S14">
        <f t="shared" si="1"/>
        <v>4356</v>
      </c>
      <c r="T14">
        <f t="shared" si="2"/>
        <v>10626</v>
      </c>
      <c r="U14">
        <f t="shared" si="3"/>
        <v>59.622921416502322</v>
      </c>
      <c r="V14">
        <f t="shared" si="4"/>
        <v>3554.8927582384113</v>
      </c>
      <c r="W14">
        <f t="shared" si="5"/>
        <v>6.3770785834976778</v>
      </c>
      <c r="X14">
        <f t="shared" si="6"/>
        <v>40.667131260104746</v>
      </c>
    </row>
    <row r="15" spans="2:24" x14ac:dyDescent="0.3">
      <c r="B15" s="89" t="s">
        <v>142</v>
      </c>
      <c r="C15" s="128" t="s">
        <v>143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O15">
        <v>13</v>
      </c>
      <c r="P15">
        <v>165</v>
      </c>
      <c r="Q15">
        <v>63</v>
      </c>
      <c r="R15">
        <f t="shared" si="0"/>
        <v>27225</v>
      </c>
      <c r="S15">
        <f t="shared" si="1"/>
        <v>3969</v>
      </c>
      <c r="T15">
        <f t="shared" si="2"/>
        <v>10395</v>
      </c>
      <c r="U15">
        <f t="shared" si="3"/>
        <v>62.335898677562639</v>
      </c>
      <c r="V15">
        <f t="shared" si="4"/>
        <v>3885.7642639393557</v>
      </c>
      <c r="W15">
        <f t="shared" si="5"/>
        <v>0.66410132243736086</v>
      </c>
      <c r="X15">
        <f t="shared" si="6"/>
        <v>0.44103056646305155</v>
      </c>
    </row>
    <row r="16" spans="2:24" x14ac:dyDescent="0.3">
      <c r="O16">
        <v>14</v>
      </c>
      <c r="P16">
        <v>176</v>
      </c>
      <c r="Q16">
        <v>78</v>
      </c>
      <c r="R16">
        <f t="shared" si="0"/>
        <v>30976</v>
      </c>
      <c r="S16">
        <f t="shared" si="1"/>
        <v>6084</v>
      </c>
      <c r="T16">
        <f t="shared" si="2"/>
        <v>13728</v>
      </c>
      <c r="U16">
        <f t="shared" si="3"/>
        <v>69.796586145478514</v>
      </c>
      <c r="V16">
        <f t="shared" si="4"/>
        <v>4871.5634375632035</v>
      </c>
      <c r="W16">
        <f t="shared" si="5"/>
        <v>8.2034138545214859</v>
      </c>
      <c r="X16">
        <f t="shared" si="6"/>
        <v>67.29599886855506</v>
      </c>
    </row>
    <row r="17" spans="3:24" x14ac:dyDescent="0.3">
      <c r="C17" s="34" t="s">
        <v>145</v>
      </c>
      <c r="D17" s="34" t="s">
        <v>146</v>
      </c>
      <c r="J17" s="141" t="s">
        <v>179</v>
      </c>
      <c r="K17" s="142"/>
      <c r="L17" s="142"/>
      <c r="M17" s="142"/>
      <c r="N17" s="143"/>
      <c r="O17">
        <v>15</v>
      </c>
      <c r="P17">
        <v>165</v>
      </c>
      <c r="Q17">
        <v>56</v>
      </c>
      <c r="R17">
        <f t="shared" si="0"/>
        <v>27225</v>
      </c>
      <c r="S17">
        <f t="shared" si="1"/>
        <v>3136</v>
      </c>
      <c r="T17">
        <f t="shared" si="2"/>
        <v>9240</v>
      </c>
      <c r="U17">
        <f t="shared" si="3"/>
        <v>62.335898677562639</v>
      </c>
      <c r="V17">
        <f t="shared" si="4"/>
        <v>3885.7642639393557</v>
      </c>
      <c r="W17">
        <f t="shared" si="5"/>
        <v>-6.3358986775626391</v>
      </c>
      <c r="X17">
        <f t="shared" si="6"/>
        <v>40.143612052339996</v>
      </c>
    </row>
    <row r="18" spans="3:24" x14ac:dyDescent="0.3">
      <c r="C18" s="34">
        <v>180</v>
      </c>
      <c r="D18" s="34">
        <f>I5+I4*C18</f>
        <v>72.509563406538831</v>
      </c>
      <c r="J18" s="144"/>
      <c r="K18" s="145"/>
      <c r="L18" s="145"/>
      <c r="M18" s="145"/>
      <c r="N18" s="146"/>
      <c r="O18">
        <v>16</v>
      </c>
      <c r="P18">
        <v>161</v>
      </c>
      <c r="Q18">
        <v>51</v>
      </c>
      <c r="R18">
        <f t="shared" si="0"/>
        <v>25921</v>
      </c>
      <c r="S18">
        <f t="shared" si="1"/>
        <v>2601</v>
      </c>
      <c r="T18">
        <f t="shared" si="2"/>
        <v>8211</v>
      </c>
      <c r="U18">
        <f t="shared" si="3"/>
        <v>59.622921416502322</v>
      </c>
      <c r="V18">
        <f t="shared" si="4"/>
        <v>3554.8927582384113</v>
      </c>
      <c r="W18">
        <f t="shared" si="5"/>
        <v>-8.6229214165023222</v>
      </c>
      <c r="X18">
        <f t="shared" si="6"/>
        <v>74.354773755174421</v>
      </c>
    </row>
    <row r="19" spans="3:24" x14ac:dyDescent="0.3">
      <c r="J19" s="33" t="s">
        <v>160</v>
      </c>
      <c r="K19" s="34">
        <f>СРЗНАЧ_XX-СРЗНАЧ_X^2</f>
        <v>36.086775000003399</v>
      </c>
      <c r="L19" s="147" t="s">
        <v>171</v>
      </c>
      <c r="M19" s="147"/>
      <c r="N19" s="147"/>
      <c r="O19">
        <v>17</v>
      </c>
      <c r="P19">
        <v>166</v>
      </c>
      <c r="Q19">
        <v>62</v>
      </c>
      <c r="R19">
        <f t="shared" si="0"/>
        <v>27556</v>
      </c>
      <c r="S19">
        <f t="shared" si="1"/>
        <v>3844</v>
      </c>
      <c r="T19">
        <f t="shared" si="2"/>
        <v>10292</v>
      </c>
      <c r="U19">
        <f t="shared" si="3"/>
        <v>63.014142992827715</v>
      </c>
      <c r="V19">
        <f t="shared" si="4"/>
        <v>3970.782217120538</v>
      </c>
      <c r="W19">
        <f t="shared" si="5"/>
        <v>-1.0141429928277148</v>
      </c>
      <c r="X19">
        <f t="shared" si="6"/>
        <v>1.0284860099015545</v>
      </c>
    </row>
    <row r="20" spans="3:24" x14ac:dyDescent="0.3">
      <c r="C20" s="140" t="s">
        <v>163</v>
      </c>
      <c r="D20" s="140"/>
      <c r="E20" s="140"/>
      <c r="F20" s="140"/>
      <c r="G20">
        <f>I9*SQRT(1+1/Мощность+(C18-СРЗНАЧ_X)^2/(Мощность*K21^2))</f>
        <v>4.7279921865045917</v>
      </c>
      <c r="J20" s="33" t="s">
        <v>161</v>
      </c>
      <c r="K20" s="34">
        <f>СРЗНАЧ_YY-СРЗНАЧ_Y^2</f>
        <v>38.283900000000358</v>
      </c>
      <c r="L20" s="147" t="s">
        <v>172</v>
      </c>
      <c r="M20" s="147"/>
      <c r="N20" s="147"/>
      <c r="O20">
        <v>18</v>
      </c>
      <c r="P20">
        <v>167</v>
      </c>
      <c r="Q20">
        <v>65</v>
      </c>
      <c r="R20">
        <f t="shared" si="0"/>
        <v>27889</v>
      </c>
      <c r="S20">
        <f t="shared" si="1"/>
        <v>4225</v>
      </c>
      <c r="T20">
        <f t="shared" si="2"/>
        <v>10855</v>
      </c>
      <c r="U20">
        <f t="shared" si="3"/>
        <v>63.692387308092805</v>
      </c>
      <c r="V20">
        <f t="shared" si="4"/>
        <v>4056.7202010041015</v>
      </c>
      <c r="W20">
        <f t="shared" si="5"/>
        <v>1.3076126919071953</v>
      </c>
      <c r="X20">
        <f t="shared" si="6"/>
        <v>1.7098509520367817</v>
      </c>
    </row>
    <row r="21" spans="3:24" x14ac:dyDescent="0.3">
      <c r="J21" s="33" t="s">
        <v>158</v>
      </c>
      <c r="K21" s="34">
        <f>SQRT(K19)</f>
        <v>6.0072268976627976</v>
      </c>
      <c r="L21" s="147" t="s">
        <v>173</v>
      </c>
      <c r="M21" s="147"/>
      <c r="N21" s="147"/>
      <c r="O21">
        <v>19</v>
      </c>
      <c r="P21">
        <v>167</v>
      </c>
      <c r="Q21">
        <v>63</v>
      </c>
      <c r="R21">
        <f t="shared" si="0"/>
        <v>27889</v>
      </c>
      <c r="S21">
        <f t="shared" si="1"/>
        <v>3969</v>
      </c>
      <c r="T21">
        <f t="shared" si="2"/>
        <v>10521</v>
      </c>
      <c r="U21">
        <f t="shared" si="3"/>
        <v>63.692387308092805</v>
      </c>
      <c r="V21">
        <f t="shared" si="4"/>
        <v>4056.7202010041015</v>
      </c>
      <c r="W21">
        <f t="shared" si="5"/>
        <v>-0.69238730809280469</v>
      </c>
      <c r="X21">
        <f t="shared" si="6"/>
        <v>0.47940018440800042</v>
      </c>
    </row>
    <row r="22" spans="3:24" x14ac:dyDescent="0.3">
      <c r="C22" s="140" t="s">
        <v>180</v>
      </c>
      <c r="D22" s="140"/>
      <c r="E22" s="140"/>
      <c r="F22" s="140"/>
      <c r="G22">
        <f>D18-N33*G20</f>
        <v>63.185880179678279</v>
      </c>
      <c r="H22">
        <f>D18+N33*G20</f>
        <v>81.833246633399384</v>
      </c>
      <c r="J22" s="33" t="s">
        <v>159</v>
      </c>
      <c r="K22" s="34">
        <f>SQRT(K20)</f>
        <v>6.1873984840157465</v>
      </c>
      <c r="L22" s="147" t="s">
        <v>174</v>
      </c>
      <c r="M22" s="147"/>
      <c r="N22" s="147"/>
      <c r="O22">
        <v>20</v>
      </c>
      <c r="P22">
        <v>165</v>
      </c>
      <c r="Q22">
        <v>63</v>
      </c>
      <c r="R22">
        <f t="shared" si="0"/>
        <v>27225</v>
      </c>
      <c r="S22">
        <f t="shared" si="1"/>
        <v>3969</v>
      </c>
      <c r="T22">
        <f t="shared" si="2"/>
        <v>10395</v>
      </c>
      <c r="U22">
        <f t="shared" si="3"/>
        <v>62.335898677562639</v>
      </c>
      <c r="V22">
        <f t="shared" si="4"/>
        <v>3885.7642639393557</v>
      </c>
      <c r="W22">
        <f t="shared" si="5"/>
        <v>0.66410132243736086</v>
      </c>
      <c r="X22">
        <f t="shared" si="6"/>
        <v>0.44103056646305155</v>
      </c>
    </row>
    <row r="23" spans="3:24" x14ac:dyDescent="0.3">
      <c r="J23" s="33" t="s">
        <v>162</v>
      </c>
      <c r="K23" s="34">
        <f>(СРЗНАЧ_XY-СРЗНАЧ_X*СРЗНАЧ_Y)/K21/K22</f>
        <v>0.65849443903968441</v>
      </c>
      <c r="L23" s="147" t="s">
        <v>170</v>
      </c>
      <c r="M23" s="147"/>
      <c r="N23" s="147"/>
      <c r="O23">
        <v>21</v>
      </c>
      <c r="P23">
        <v>168</v>
      </c>
      <c r="Q23">
        <v>73</v>
      </c>
      <c r="R23">
        <f t="shared" si="0"/>
        <v>28224</v>
      </c>
      <c r="S23">
        <f t="shared" si="1"/>
        <v>5329</v>
      </c>
      <c r="T23">
        <f t="shared" si="2"/>
        <v>12264</v>
      </c>
      <c r="U23">
        <f t="shared" si="3"/>
        <v>64.37063162335788</v>
      </c>
      <c r="V23">
        <f t="shared" si="4"/>
        <v>4143.5782155900415</v>
      </c>
      <c r="W23">
        <f t="shared" si="5"/>
        <v>8.6293683766421196</v>
      </c>
      <c r="X23">
        <f t="shared" si="6"/>
        <v>74.465998579791048</v>
      </c>
    </row>
    <row r="24" spans="3:24" ht="14.4" customHeight="1" x14ac:dyDescent="0.3">
      <c r="C24" s="131" t="s">
        <v>183</v>
      </c>
      <c r="D24" s="131"/>
      <c r="E24" s="131"/>
      <c r="F24" s="131"/>
      <c r="G24" s="73"/>
      <c r="H24" s="73"/>
      <c r="I24" s="137"/>
      <c r="J24" s="33" t="s">
        <v>166</v>
      </c>
      <c r="K24" s="34">
        <f>(СРЗНАЧ_XY-СРЗНАЧ_X*СРЗНАЧ_Y)/K19</f>
        <v>0.6782443152650246</v>
      </c>
      <c r="L24" s="147" t="s">
        <v>168</v>
      </c>
      <c r="M24" s="147"/>
      <c r="N24" s="147"/>
      <c r="O24">
        <v>22</v>
      </c>
      <c r="P24">
        <v>161</v>
      </c>
      <c r="Q24">
        <v>59</v>
      </c>
      <c r="R24">
        <f t="shared" si="0"/>
        <v>25921</v>
      </c>
      <c r="S24">
        <f t="shared" si="1"/>
        <v>3481</v>
      </c>
      <c r="T24">
        <f t="shared" si="2"/>
        <v>9499</v>
      </c>
      <c r="U24">
        <f t="shared" si="3"/>
        <v>59.622921416502322</v>
      </c>
      <c r="V24">
        <f t="shared" si="4"/>
        <v>3554.8927582384113</v>
      </c>
      <c r="W24">
        <f t="shared" si="5"/>
        <v>-0.62292141650232224</v>
      </c>
      <c r="X24">
        <f t="shared" si="6"/>
        <v>0.38803109113725964</v>
      </c>
    </row>
    <row r="25" spans="3:24" x14ac:dyDescent="0.3">
      <c r="C25" s="131"/>
      <c r="D25" s="131"/>
      <c r="E25" s="131"/>
      <c r="F25" s="131"/>
      <c r="G25" s="73"/>
      <c r="H25" s="73"/>
      <c r="J25" s="148" t="s">
        <v>167</v>
      </c>
      <c r="K25" s="34">
        <f>СРЗНАЧ_Y-K24*СРЗНАЧ_X</f>
        <v>-49.574413341166178</v>
      </c>
      <c r="L25" s="147" t="s">
        <v>169</v>
      </c>
      <c r="M25" s="147"/>
      <c r="N25" s="147"/>
      <c r="O25">
        <v>23</v>
      </c>
      <c r="P25">
        <v>163</v>
      </c>
      <c r="Q25">
        <v>65</v>
      </c>
      <c r="R25">
        <f t="shared" si="0"/>
        <v>26569</v>
      </c>
      <c r="S25">
        <f t="shared" si="1"/>
        <v>4225</v>
      </c>
      <c r="T25">
        <f t="shared" si="2"/>
        <v>10595</v>
      </c>
      <c r="U25">
        <f t="shared" si="3"/>
        <v>60.979410047032474</v>
      </c>
      <c r="V25">
        <f t="shared" si="4"/>
        <v>3718.488449684125</v>
      </c>
      <c r="W25">
        <f t="shared" si="5"/>
        <v>4.0205899529675264</v>
      </c>
      <c r="X25">
        <f t="shared" si="6"/>
        <v>16.165143569903417</v>
      </c>
    </row>
    <row r="26" spans="3:24" x14ac:dyDescent="0.3">
      <c r="J26" s="148" t="s">
        <v>175</v>
      </c>
      <c r="K26" s="34">
        <f>СРЗНАЧ_кв_Y_регрессия-СРЗНАЧ_Y_регрессия^2</f>
        <v>16.600470474922986</v>
      </c>
      <c r="L26" s="147" t="s">
        <v>178</v>
      </c>
      <c r="M26" s="147"/>
      <c r="N26" s="147"/>
      <c r="O26">
        <v>24</v>
      </c>
      <c r="P26">
        <v>168</v>
      </c>
      <c r="Q26">
        <v>66</v>
      </c>
      <c r="R26">
        <f t="shared" si="0"/>
        <v>28224</v>
      </c>
      <c r="S26">
        <f t="shared" si="1"/>
        <v>4356</v>
      </c>
      <c r="T26">
        <f t="shared" si="2"/>
        <v>11088</v>
      </c>
      <c r="U26">
        <f t="shared" si="3"/>
        <v>64.37063162335788</v>
      </c>
      <c r="V26">
        <f t="shared" si="4"/>
        <v>4143.5782155900415</v>
      </c>
      <c r="W26">
        <f t="shared" si="5"/>
        <v>1.6293683766421196</v>
      </c>
      <c r="X26">
        <f t="shared" si="6"/>
        <v>2.6548413068013761</v>
      </c>
    </row>
    <row r="27" spans="3:24" x14ac:dyDescent="0.3">
      <c r="J27" s="148" t="s">
        <v>176</v>
      </c>
      <c r="K27" s="34">
        <f>СРЗНАЧ_кв_eps-СРЗНАЧ_eps^2</f>
        <v>21.68342952508225</v>
      </c>
      <c r="L27" s="147" t="s">
        <v>177</v>
      </c>
      <c r="M27" s="147"/>
      <c r="N27" s="147"/>
      <c r="O27">
        <v>25</v>
      </c>
      <c r="P27">
        <v>175</v>
      </c>
      <c r="Q27">
        <v>66</v>
      </c>
      <c r="R27">
        <f t="shared" si="0"/>
        <v>30625</v>
      </c>
      <c r="S27">
        <f t="shared" si="1"/>
        <v>4356</v>
      </c>
      <c r="T27">
        <f t="shared" si="2"/>
        <v>11550</v>
      </c>
      <c r="U27">
        <f t="shared" si="3"/>
        <v>69.118341830213438</v>
      </c>
      <c r="V27">
        <f t="shared" si="4"/>
        <v>4777.3451773582328</v>
      </c>
      <c r="W27">
        <f t="shared" si="5"/>
        <v>-3.1183418302134385</v>
      </c>
      <c r="X27">
        <f t="shared" si="6"/>
        <v>9.7240557700588965</v>
      </c>
    </row>
    <row r="28" spans="3:24" x14ac:dyDescent="0.3">
      <c r="O28">
        <v>26</v>
      </c>
      <c r="P28">
        <v>161</v>
      </c>
      <c r="Q28">
        <v>52</v>
      </c>
      <c r="R28">
        <f t="shared" si="0"/>
        <v>25921</v>
      </c>
      <c r="S28">
        <f t="shared" si="1"/>
        <v>2704</v>
      </c>
      <c r="T28">
        <f t="shared" si="2"/>
        <v>8372</v>
      </c>
      <c r="U28">
        <f t="shared" si="3"/>
        <v>59.622921416502322</v>
      </c>
      <c r="V28">
        <f t="shared" si="4"/>
        <v>3554.8927582384113</v>
      </c>
      <c r="W28">
        <f t="shared" si="5"/>
        <v>-7.6229214165023222</v>
      </c>
      <c r="X28">
        <f t="shared" si="6"/>
        <v>58.108930922169769</v>
      </c>
    </row>
    <row r="29" spans="3:24" x14ac:dyDescent="0.3">
      <c r="J29" s="149" t="s">
        <v>165</v>
      </c>
      <c r="K29" s="149"/>
      <c r="L29" s="149"/>
      <c r="M29" s="149"/>
      <c r="N29" s="34">
        <f>Мощность/(Мощность-2)*J13</f>
        <v>21.902454065739672</v>
      </c>
      <c r="O29">
        <v>27</v>
      </c>
      <c r="P29">
        <v>171</v>
      </c>
      <c r="Q29">
        <v>63</v>
      </c>
      <c r="R29">
        <f t="shared" si="0"/>
        <v>29241</v>
      </c>
      <c r="S29">
        <f t="shared" si="1"/>
        <v>3969</v>
      </c>
      <c r="T29">
        <f t="shared" si="2"/>
        <v>10773</v>
      </c>
      <c r="U29">
        <f t="shared" si="3"/>
        <v>66.405364569153122</v>
      </c>
      <c r="V29">
        <f t="shared" si="4"/>
        <v>4409.6724435621363</v>
      </c>
      <c r="W29">
        <f t="shared" si="5"/>
        <v>-3.4053645691531216</v>
      </c>
      <c r="X29">
        <f t="shared" si="6"/>
        <v>11.596507848843425</v>
      </c>
    </row>
    <row r="30" spans="3:24" x14ac:dyDescent="0.3">
      <c r="J30" s="150" t="s">
        <v>164</v>
      </c>
      <c r="K30" s="150"/>
      <c r="L30" s="150"/>
      <c r="M30" s="150"/>
      <c r="N30" s="34">
        <f>SQRT(N29)</f>
        <v>4.6800057762506739</v>
      </c>
      <c r="O30">
        <v>28</v>
      </c>
      <c r="P30">
        <v>184</v>
      </c>
      <c r="Q30">
        <v>72</v>
      </c>
      <c r="R30">
        <f t="shared" si="0"/>
        <v>33856</v>
      </c>
      <c r="S30">
        <f t="shared" si="1"/>
        <v>5184</v>
      </c>
      <c r="T30">
        <f t="shared" si="2"/>
        <v>13248</v>
      </c>
      <c r="U30">
        <f t="shared" si="3"/>
        <v>75.222540667599162</v>
      </c>
      <c r="V30">
        <f t="shared" si="4"/>
        <v>5658.4306244886102</v>
      </c>
      <c r="W30">
        <f t="shared" si="5"/>
        <v>-3.2225406675991621</v>
      </c>
      <c r="X30">
        <f t="shared" si="6"/>
        <v>10.384768354330454</v>
      </c>
    </row>
    <row r="31" spans="3:24" x14ac:dyDescent="0.3">
      <c r="J31" s="147"/>
      <c r="K31" s="147"/>
      <c r="L31" s="147"/>
      <c r="M31" s="147"/>
      <c r="N31" s="147"/>
      <c r="O31">
        <v>29</v>
      </c>
      <c r="P31">
        <v>173</v>
      </c>
      <c r="Q31">
        <v>63</v>
      </c>
      <c r="R31">
        <f t="shared" si="0"/>
        <v>29929</v>
      </c>
      <c r="S31">
        <f t="shared" si="1"/>
        <v>3969</v>
      </c>
      <c r="T31">
        <f t="shared" si="2"/>
        <v>10899</v>
      </c>
      <c r="U31">
        <f t="shared" si="3"/>
        <v>67.761853199683273</v>
      </c>
      <c r="V31">
        <f t="shared" si="4"/>
        <v>4591.6687490554259</v>
      </c>
      <c r="W31">
        <f t="shared" si="5"/>
        <v>-4.7618531996832729</v>
      </c>
      <c r="X31">
        <f t="shared" si="6"/>
        <v>22.675245895333823</v>
      </c>
    </row>
    <row r="32" spans="3:24" x14ac:dyDescent="0.3">
      <c r="J32" s="150" t="s">
        <v>182</v>
      </c>
      <c r="K32" s="150"/>
      <c r="L32" s="150"/>
      <c r="M32" s="150"/>
      <c r="N32" s="34">
        <v>0.05</v>
      </c>
      <c r="O32">
        <v>30</v>
      </c>
      <c r="P32">
        <v>166</v>
      </c>
      <c r="Q32">
        <v>67</v>
      </c>
      <c r="R32">
        <f t="shared" si="0"/>
        <v>27556</v>
      </c>
      <c r="S32">
        <f t="shared" si="1"/>
        <v>4489</v>
      </c>
      <c r="T32">
        <f t="shared" si="2"/>
        <v>11122</v>
      </c>
      <c r="U32">
        <f t="shared" si="3"/>
        <v>63.014142992827715</v>
      </c>
      <c r="V32">
        <f t="shared" si="4"/>
        <v>3970.782217120538</v>
      </c>
      <c r="W32">
        <f t="shared" si="5"/>
        <v>3.9858570071722852</v>
      </c>
      <c r="X32">
        <f t="shared" si="6"/>
        <v>15.887056081624406</v>
      </c>
    </row>
    <row r="33" spans="2:24" x14ac:dyDescent="0.3">
      <c r="J33" s="150" t="s">
        <v>181</v>
      </c>
      <c r="K33" s="150"/>
      <c r="L33" s="150"/>
      <c r="M33" s="150"/>
      <c r="N33" s="34">
        <f>_xlfn.T.INV.2T(N32,Мощность-2)</f>
        <v>1.9720174778363073</v>
      </c>
      <c r="O33">
        <v>31</v>
      </c>
      <c r="P33">
        <v>170</v>
      </c>
      <c r="Q33">
        <v>61</v>
      </c>
      <c r="R33">
        <f t="shared" si="0"/>
        <v>28900</v>
      </c>
      <c r="S33">
        <f t="shared" si="1"/>
        <v>3721</v>
      </c>
      <c r="T33">
        <f t="shared" si="2"/>
        <v>10370</v>
      </c>
      <c r="U33">
        <f t="shared" si="3"/>
        <v>65.727120253888032</v>
      </c>
      <c r="V33">
        <f t="shared" si="4"/>
        <v>4320.0543368690587</v>
      </c>
      <c r="W33">
        <f t="shared" si="5"/>
        <v>-4.7271202538880317</v>
      </c>
      <c r="X33">
        <f t="shared" si="6"/>
        <v>22.345665894718451</v>
      </c>
    </row>
    <row r="34" spans="2:24" x14ac:dyDescent="0.3">
      <c r="O34">
        <v>32</v>
      </c>
      <c r="P34">
        <v>172</v>
      </c>
      <c r="Q34">
        <v>74</v>
      </c>
      <c r="R34">
        <f t="shared" si="0"/>
        <v>29584</v>
      </c>
      <c r="S34">
        <f t="shared" si="1"/>
        <v>5476</v>
      </c>
      <c r="T34">
        <f t="shared" si="2"/>
        <v>12728</v>
      </c>
      <c r="U34">
        <f t="shared" si="3"/>
        <v>67.083608884418197</v>
      </c>
      <c r="V34">
        <f t="shared" si="4"/>
        <v>4500.2105809575924</v>
      </c>
      <c r="W34">
        <f t="shared" si="5"/>
        <v>6.9163911155818028</v>
      </c>
      <c r="X34">
        <f t="shared" si="6"/>
        <v>47.836466063698893</v>
      </c>
    </row>
    <row r="35" spans="2:24" x14ac:dyDescent="0.3">
      <c r="O35">
        <v>33</v>
      </c>
      <c r="P35">
        <v>176</v>
      </c>
      <c r="Q35">
        <v>81</v>
      </c>
      <c r="R35">
        <f t="shared" si="0"/>
        <v>30976</v>
      </c>
      <c r="S35">
        <f t="shared" si="1"/>
        <v>6561</v>
      </c>
      <c r="T35">
        <f t="shared" si="2"/>
        <v>14256</v>
      </c>
      <c r="U35">
        <f t="shared" si="3"/>
        <v>69.796586145478514</v>
      </c>
      <c r="V35">
        <f t="shared" si="4"/>
        <v>4871.5634375632035</v>
      </c>
      <c r="W35">
        <f t="shared" si="5"/>
        <v>11.203413854521486</v>
      </c>
      <c r="X35">
        <f t="shared" si="6"/>
        <v>125.51648199568398</v>
      </c>
    </row>
    <row r="36" spans="2:24" x14ac:dyDescent="0.3">
      <c r="B36" s="89" t="s">
        <v>184</v>
      </c>
      <c r="C36" s="128" t="s">
        <v>185</v>
      </c>
      <c r="D36" s="128"/>
      <c r="E36" s="128"/>
      <c r="F36" s="128"/>
      <c r="G36" s="128"/>
      <c r="H36" s="128"/>
      <c r="I36" s="128"/>
      <c r="K36" s="151" t="s">
        <v>55</v>
      </c>
      <c r="L36" s="151" t="s">
        <v>56</v>
      </c>
      <c r="O36">
        <v>34</v>
      </c>
      <c r="P36">
        <v>162</v>
      </c>
      <c r="Q36">
        <v>60</v>
      </c>
      <c r="R36">
        <f t="shared" si="0"/>
        <v>26244</v>
      </c>
      <c r="S36">
        <f t="shared" si="1"/>
        <v>3600</v>
      </c>
      <c r="T36">
        <f t="shared" si="2"/>
        <v>9720</v>
      </c>
      <c r="U36">
        <f t="shared" si="3"/>
        <v>60.301165731767398</v>
      </c>
      <c r="V36">
        <f t="shared" si="4"/>
        <v>3636.2305886100789</v>
      </c>
      <c r="W36">
        <f t="shared" si="5"/>
        <v>-0.30116573176739792</v>
      </c>
      <c r="X36">
        <f t="shared" si="6"/>
        <v>9.0700797990992274E-2</v>
      </c>
    </row>
    <row r="37" spans="2:24" x14ac:dyDescent="0.3">
      <c r="K37" s="151"/>
      <c r="L37" s="151"/>
      <c r="O37">
        <v>35</v>
      </c>
      <c r="P37">
        <v>157</v>
      </c>
      <c r="Q37">
        <v>60</v>
      </c>
      <c r="R37">
        <f t="shared" si="0"/>
        <v>24649</v>
      </c>
      <c r="S37">
        <f t="shared" si="1"/>
        <v>3600</v>
      </c>
      <c r="T37">
        <f t="shared" si="2"/>
        <v>9420</v>
      </c>
      <c r="U37">
        <f t="shared" si="3"/>
        <v>56.909944155442005</v>
      </c>
      <c r="V37">
        <f t="shared" si="4"/>
        <v>3238.7417437755275</v>
      </c>
      <c r="W37">
        <f t="shared" si="5"/>
        <v>3.0900558445579946</v>
      </c>
      <c r="X37">
        <f t="shared" si="6"/>
        <v>9.5484451224870224</v>
      </c>
    </row>
    <row r="38" spans="2:24" x14ac:dyDescent="0.3">
      <c r="C38" s="140" t="s">
        <v>186</v>
      </c>
      <c r="D38" s="140"/>
      <c r="E38" s="140"/>
      <c r="F38" s="140"/>
      <c r="G38" s="140"/>
      <c r="H38" s="140"/>
      <c r="I38" s="140"/>
      <c r="J38" s="140"/>
      <c r="K38">
        <f>I5-N33*I7</f>
        <v>-67.987051192031728</v>
      </c>
      <c r="L38">
        <f>I5+N33*I7</f>
        <v>-31.161775490319361</v>
      </c>
      <c r="O38">
        <v>36</v>
      </c>
      <c r="P38">
        <v>188</v>
      </c>
      <c r="Q38">
        <v>75</v>
      </c>
      <c r="R38">
        <f t="shared" si="0"/>
        <v>35344</v>
      </c>
      <c r="S38">
        <f t="shared" si="1"/>
        <v>5625</v>
      </c>
      <c r="T38">
        <f t="shared" si="2"/>
        <v>14100</v>
      </c>
      <c r="U38">
        <f t="shared" si="3"/>
        <v>77.935517928659479</v>
      </c>
      <c r="V38">
        <f t="shared" si="4"/>
        <v>6073.9449548084031</v>
      </c>
      <c r="W38">
        <f t="shared" si="5"/>
        <v>-2.935517928659479</v>
      </c>
      <c r="X38">
        <f t="shared" si="6"/>
        <v>8.6172655094812374</v>
      </c>
    </row>
    <row r="39" spans="2:24" x14ac:dyDescent="0.3">
      <c r="C39" s="140" t="s">
        <v>187</v>
      </c>
      <c r="D39" s="140"/>
      <c r="E39" s="140"/>
      <c r="F39" s="140"/>
      <c r="G39" s="140"/>
      <c r="H39" s="140"/>
      <c r="I39" s="140"/>
      <c r="J39" s="140"/>
      <c r="K39">
        <f>I4-N33*I6</f>
        <v>0.56960972889548256</v>
      </c>
      <c r="L39">
        <f>I4+N33*I6</f>
        <v>0.78687890163467722</v>
      </c>
      <c r="O39">
        <v>37</v>
      </c>
      <c r="P39">
        <v>164</v>
      </c>
      <c r="Q39">
        <v>53</v>
      </c>
      <c r="R39">
        <f t="shared" si="0"/>
        <v>26896</v>
      </c>
      <c r="S39">
        <f t="shared" si="1"/>
        <v>2809</v>
      </c>
      <c r="T39">
        <f t="shared" si="2"/>
        <v>8692</v>
      </c>
      <c r="U39">
        <f t="shared" si="3"/>
        <v>61.657654362297563</v>
      </c>
      <c r="V39">
        <f t="shared" si="4"/>
        <v>3801.6663414605518</v>
      </c>
      <c r="W39">
        <f t="shared" si="5"/>
        <v>-8.6576543622975635</v>
      </c>
      <c r="X39">
        <f t="shared" si="6"/>
        <v>74.954979057010036</v>
      </c>
    </row>
    <row r="40" spans="2:24" x14ac:dyDescent="0.3">
      <c r="O40">
        <v>38</v>
      </c>
      <c r="P40">
        <v>167</v>
      </c>
      <c r="Q40">
        <v>64</v>
      </c>
      <c r="R40">
        <f t="shared" si="0"/>
        <v>27889</v>
      </c>
      <c r="S40">
        <f t="shared" si="1"/>
        <v>4096</v>
      </c>
      <c r="T40">
        <f t="shared" si="2"/>
        <v>10688</v>
      </c>
      <c r="U40">
        <f t="shared" si="3"/>
        <v>63.692387308092805</v>
      </c>
      <c r="V40">
        <f t="shared" si="4"/>
        <v>4056.7202010041015</v>
      </c>
      <c r="W40">
        <f t="shared" si="5"/>
        <v>0.30761269190719531</v>
      </c>
      <c r="X40">
        <f t="shared" si="6"/>
        <v>9.4625568222391071E-2</v>
      </c>
    </row>
    <row r="41" spans="2:24" x14ac:dyDescent="0.3">
      <c r="O41">
        <v>39</v>
      </c>
      <c r="P41">
        <v>174</v>
      </c>
      <c r="Q41">
        <v>69</v>
      </c>
      <c r="R41">
        <f t="shared" si="0"/>
        <v>30276</v>
      </c>
      <c r="S41">
        <f t="shared" si="1"/>
        <v>4761</v>
      </c>
      <c r="T41">
        <f t="shared" si="2"/>
        <v>12006</v>
      </c>
      <c r="U41">
        <f t="shared" si="3"/>
        <v>68.440097514948363</v>
      </c>
      <c r="V41">
        <f t="shared" si="4"/>
        <v>4684.0469478556415</v>
      </c>
      <c r="W41">
        <f t="shared" si="5"/>
        <v>0.5599024850516372</v>
      </c>
      <c r="X41">
        <f t="shared" si="6"/>
        <v>0.31349079276699882</v>
      </c>
    </row>
    <row r="42" spans="2:24" x14ac:dyDescent="0.3">
      <c r="O42">
        <v>40</v>
      </c>
      <c r="P42">
        <v>161</v>
      </c>
      <c r="Q42">
        <v>62</v>
      </c>
      <c r="R42">
        <f t="shared" si="0"/>
        <v>25921</v>
      </c>
      <c r="S42">
        <f t="shared" si="1"/>
        <v>3844</v>
      </c>
      <c r="T42">
        <f t="shared" si="2"/>
        <v>9982</v>
      </c>
      <c r="U42">
        <f t="shared" si="3"/>
        <v>59.622921416502322</v>
      </c>
      <c r="V42">
        <f t="shared" si="4"/>
        <v>3554.8927582384113</v>
      </c>
      <c r="W42">
        <f t="shared" si="5"/>
        <v>2.3770785834976778</v>
      </c>
      <c r="X42">
        <f t="shared" si="6"/>
        <v>5.6505025921233258</v>
      </c>
    </row>
    <row r="43" spans="2:24" x14ac:dyDescent="0.3">
      <c r="B43" s="89" t="s">
        <v>188</v>
      </c>
      <c r="C43" s="128" t="s">
        <v>144</v>
      </c>
      <c r="D43" s="128"/>
      <c r="E43" s="128"/>
      <c r="F43" s="128"/>
      <c r="G43" s="128"/>
      <c r="H43" s="128"/>
      <c r="I43" s="128"/>
      <c r="J43" s="128"/>
      <c r="K43" s="128"/>
      <c r="L43" s="128"/>
      <c r="O43">
        <v>41</v>
      </c>
      <c r="P43">
        <v>172</v>
      </c>
      <c r="Q43">
        <v>63</v>
      </c>
      <c r="R43">
        <f t="shared" si="0"/>
        <v>29584</v>
      </c>
      <c r="S43">
        <f t="shared" si="1"/>
        <v>3969</v>
      </c>
      <c r="T43">
        <f t="shared" si="2"/>
        <v>10836</v>
      </c>
      <c r="U43">
        <f t="shared" si="3"/>
        <v>67.083608884418197</v>
      </c>
      <c r="V43">
        <f t="shared" si="4"/>
        <v>4500.2105809575924</v>
      </c>
      <c r="W43">
        <f t="shared" si="5"/>
        <v>-4.0836088844181972</v>
      </c>
      <c r="X43">
        <f t="shared" si="6"/>
        <v>16.675861520899232</v>
      </c>
    </row>
    <row r="44" spans="2:24" x14ac:dyDescent="0.3">
      <c r="F44" s="14" t="s">
        <v>191</v>
      </c>
      <c r="O44">
        <v>42</v>
      </c>
      <c r="P44">
        <v>171</v>
      </c>
      <c r="Q44">
        <v>69</v>
      </c>
      <c r="R44">
        <f t="shared" si="0"/>
        <v>29241</v>
      </c>
      <c r="S44">
        <f t="shared" si="1"/>
        <v>4761</v>
      </c>
      <c r="T44">
        <f t="shared" si="2"/>
        <v>11799</v>
      </c>
      <c r="U44">
        <f t="shared" si="3"/>
        <v>66.405364569153122</v>
      </c>
      <c r="V44">
        <f t="shared" si="4"/>
        <v>4409.6724435621363</v>
      </c>
      <c r="W44">
        <f t="shared" si="5"/>
        <v>2.5946354308468784</v>
      </c>
      <c r="X44">
        <f t="shared" si="6"/>
        <v>6.7321330190059667</v>
      </c>
    </row>
    <row r="45" spans="2:24" x14ac:dyDescent="0.3">
      <c r="C45" s="90" t="s">
        <v>189</v>
      </c>
      <c r="D45">
        <f>_xlfn.F.INV.RT(N32,1,Мощность-2)</f>
        <v>3.8888529328918917</v>
      </c>
      <c r="E45" s="14" t="s">
        <v>190</v>
      </c>
      <c r="F45">
        <f>I10</f>
        <v>151.58548375530762</v>
      </c>
      <c r="O45">
        <v>43</v>
      </c>
      <c r="P45">
        <v>173</v>
      </c>
      <c r="Q45">
        <v>68</v>
      </c>
      <c r="R45">
        <f t="shared" si="0"/>
        <v>29929</v>
      </c>
      <c r="S45">
        <f t="shared" si="1"/>
        <v>4624</v>
      </c>
      <c r="T45">
        <f t="shared" si="2"/>
        <v>11764</v>
      </c>
      <c r="U45">
        <f t="shared" si="3"/>
        <v>67.761853199683273</v>
      </c>
      <c r="V45">
        <f t="shared" si="4"/>
        <v>4591.6687490554259</v>
      </c>
      <c r="W45">
        <f t="shared" si="5"/>
        <v>0.23814680031672708</v>
      </c>
      <c r="X45">
        <f t="shared" si="6"/>
        <v>5.6713898501095081E-2</v>
      </c>
    </row>
    <row r="46" spans="2:24" x14ac:dyDescent="0.3">
      <c r="O46">
        <v>44</v>
      </c>
      <c r="P46">
        <v>176</v>
      </c>
      <c r="Q46">
        <v>70</v>
      </c>
      <c r="R46">
        <f t="shared" si="0"/>
        <v>30976</v>
      </c>
      <c r="S46">
        <f t="shared" si="1"/>
        <v>4900</v>
      </c>
      <c r="T46">
        <f t="shared" si="2"/>
        <v>12320</v>
      </c>
      <c r="U46">
        <f t="shared" si="3"/>
        <v>69.796586145478514</v>
      </c>
      <c r="V46">
        <f t="shared" si="4"/>
        <v>4871.5634375632035</v>
      </c>
      <c r="W46">
        <f t="shared" si="5"/>
        <v>0.20341385452148586</v>
      </c>
      <c r="X46">
        <f t="shared" si="6"/>
        <v>4.1377196211288214E-2</v>
      </c>
    </row>
    <row r="47" spans="2:24" x14ac:dyDescent="0.3">
      <c r="C47" s="131" t="s">
        <v>192</v>
      </c>
      <c r="D47" s="131"/>
      <c r="E47" s="131"/>
      <c r="F47" s="131"/>
      <c r="G47" s="131"/>
      <c r="H47" s="131"/>
      <c r="I47" s="131"/>
      <c r="J47" s="131"/>
      <c r="K47" s="131"/>
      <c r="L47" s="131"/>
      <c r="O47">
        <v>45</v>
      </c>
      <c r="P47">
        <v>156</v>
      </c>
      <c r="Q47">
        <v>54</v>
      </c>
      <c r="R47">
        <f t="shared" si="0"/>
        <v>24336</v>
      </c>
      <c r="S47">
        <f t="shared" si="1"/>
        <v>2916</v>
      </c>
      <c r="T47">
        <f t="shared" si="2"/>
        <v>8424</v>
      </c>
      <c r="U47">
        <f t="shared" si="3"/>
        <v>56.231699840176915</v>
      </c>
      <c r="V47">
        <f t="shared" si="4"/>
        <v>3162.0040669157524</v>
      </c>
      <c r="W47">
        <f t="shared" si="5"/>
        <v>-2.2316998401769155</v>
      </c>
      <c r="X47">
        <f t="shared" si="6"/>
        <v>4.9804841766456702</v>
      </c>
    </row>
    <row r="48" spans="2:24" x14ac:dyDescent="0.3"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O48">
        <v>46</v>
      </c>
      <c r="P48">
        <v>161</v>
      </c>
      <c r="Q48">
        <v>59</v>
      </c>
      <c r="R48">
        <f t="shared" si="0"/>
        <v>25921</v>
      </c>
      <c r="S48">
        <f t="shared" si="1"/>
        <v>3481</v>
      </c>
      <c r="T48">
        <f t="shared" si="2"/>
        <v>9499</v>
      </c>
      <c r="U48">
        <f t="shared" si="3"/>
        <v>59.622921416502322</v>
      </c>
      <c r="V48">
        <f t="shared" si="4"/>
        <v>3554.8927582384113</v>
      </c>
      <c r="W48">
        <f t="shared" si="5"/>
        <v>-0.62292141650232224</v>
      </c>
      <c r="X48">
        <f t="shared" si="6"/>
        <v>0.38803109113725964</v>
      </c>
    </row>
    <row r="49" spans="15:24" x14ac:dyDescent="0.3">
      <c r="O49">
        <v>47</v>
      </c>
      <c r="P49">
        <v>165</v>
      </c>
      <c r="Q49">
        <v>63</v>
      </c>
      <c r="R49">
        <f t="shared" si="0"/>
        <v>27225</v>
      </c>
      <c r="S49">
        <f t="shared" si="1"/>
        <v>3969</v>
      </c>
      <c r="T49">
        <f t="shared" si="2"/>
        <v>10395</v>
      </c>
      <c r="U49">
        <f t="shared" si="3"/>
        <v>62.335898677562639</v>
      </c>
      <c r="V49">
        <f t="shared" si="4"/>
        <v>3885.7642639393557</v>
      </c>
      <c r="W49">
        <f t="shared" si="5"/>
        <v>0.66410132243736086</v>
      </c>
      <c r="X49">
        <f t="shared" si="6"/>
        <v>0.44103056646305155</v>
      </c>
    </row>
    <row r="50" spans="15:24" x14ac:dyDescent="0.3">
      <c r="O50">
        <v>48</v>
      </c>
      <c r="P50">
        <v>174</v>
      </c>
      <c r="Q50">
        <v>66</v>
      </c>
      <c r="R50">
        <f t="shared" si="0"/>
        <v>30276</v>
      </c>
      <c r="S50">
        <f t="shared" si="1"/>
        <v>4356</v>
      </c>
      <c r="T50">
        <f t="shared" si="2"/>
        <v>11484</v>
      </c>
      <c r="U50">
        <f t="shared" si="3"/>
        <v>68.440097514948363</v>
      </c>
      <c r="V50">
        <f t="shared" si="4"/>
        <v>4684.0469478556415</v>
      </c>
      <c r="W50">
        <f t="shared" si="5"/>
        <v>-2.4400975149483628</v>
      </c>
      <c r="X50">
        <f t="shared" si="6"/>
        <v>5.9540758824571753</v>
      </c>
    </row>
    <row r="51" spans="15:24" x14ac:dyDescent="0.3">
      <c r="O51">
        <v>49</v>
      </c>
      <c r="P51">
        <v>183</v>
      </c>
      <c r="Q51">
        <v>73</v>
      </c>
      <c r="R51">
        <f t="shared" si="0"/>
        <v>33489</v>
      </c>
      <c r="S51">
        <f t="shared" si="1"/>
        <v>5329</v>
      </c>
      <c r="T51">
        <f t="shared" si="2"/>
        <v>13359</v>
      </c>
      <c r="U51">
        <f t="shared" si="3"/>
        <v>74.544296352334072</v>
      </c>
      <c r="V51">
        <f t="shared" si="4"/>
        <v>5556.8521186646067</v>
      </c>
      <c r="W51">
        <f t="shared" si="5"/>
        <v>-1.5442963523340723</v>
      </c>
      <c r="X51">
        <f t="shared" si="6"/>
        <v>2.384851223832321</v>
      </c>
    </row>
    <row r="52" spans="15:24" x14ac:dyDescent="0.3">
      <c r="O52">
        <v>50</v>
      </c>
      <c r="P52">
        <v>173</v>
      </c>
      <c r="Q52">
        <v>71</v>
      </c>
      <c r="R52">
        <f t="shared" si="0"/>
        <v>29929</v>
      </c>
      <c r="S52">
        <f t="shared" si="1"/>
        <v>5041</v>
      </c>
      <c r="T52">
        <f t="shared" si="2"/>
        <v>12283</v>
      </c>
      <c r="U52">
        <f t="shared" si="3"/>
        <v>67.761853199683273</v>
      </c>
      <c r="V52">
        <f t="shared" si="4"/>
        <v>4591.6687490554259</v>
      </c>
      <c r="W52">
        <f t="shared" si="5"/>
        <v>3.2381468003167271</v>
      </c>
      <c r="X52">
        <f t="shared" si="6"/>
        <v>10.485594700401457</v>
      </c>
    </row>
    <row r="53" spans="15:24" x14ac:dyDescent="0.3">
      <c r="O53">
        <v>51</v>
      </c>
      <c r="P53">
        <v>160</v>
      </c>
      <c r="Q53">
        <v>61</v>
      </c>
      <c r="R53">
        <f t="shared" si="0"/>
        <v>25600</v>
      </c>
      <c r="S53">
        <f t="shared" si="1"/>
        <v>3721</v>
      </c>
      <c r="T53">
        <f t="shared" si="2"/>
        <v>9760</v>
      </c>
      <c r="U53">
        <f t="shared" si="3"/>
        <v>58.944677101237247</v>
      </c>
      <c r="V53">
        <f t="shared" si="4"/>
        <v>3474.4749585691225</v>
      </c>
      <c r="W53">
        <f t="shared" si="5"/>
        <v>2.0553228987627534</v>
      </c>
      <c r="X53">
        <f t="shared" si="6"/>
        <v>4.2243522181785274</v>
      </c>
    </row>
    <row r="54" spans="15:24" x14ac:dyDescent="0.3">
      <c r="O54">
        <v>52</v>
      </c>
      <c r="P54">
        <v>178</v>
      </c>
      <c r="Q54">
        <v>69</v>
      </c>
      <c r="R54">
        <f t="shared" si="0"/>
        <v>31684</v>
      </c>
      <c r="S54">
        <f t="shared" si="1"/>
        <v>4761</v>
      </c>
      <c r="T54">
        <f t="shared" si="2"/>
        <v>12282</v>
      </c>
      <c r="U54">
        <f t="shared" si="3"/>
        <v>71.15307477600868</v>
      </c>
      <c r="V54">
        <f t="shared" si="4"/>
        <v>5062.7600500802828</v>
      </c>
      <c r="W54">
        <f t="shared" si="5"/>
        <v>-2.1530747760086797</v>
      </c>
      <c r="X54">
        <f t="shared" si="6"/>
        <v>4.6357309910848263</v>
      </c>
    </row>
    <row r="55" spans="15:24" x14ac:dyDescent="0.3">
      <c r="O55">
        <v>53</v>
      </c>
      <c r="P55">
        <v>170</v>
      </c>
      <c r="Q55">
        <v>70</v>
      </c>
      <c r="R55">
        <f t="shared" si="0"/>
        <v>28900</v>
      </c>
      <c r="S55">
        <f t="shared" si="1"/>
        <v>4900</v>
      </c>
      <c r="T55">
        <f t="shared" si="2"/>
        <v>11900</v>
      </c>
      <c r="U55">
        <f t="shared" si="3"/>
        <v>65.727120253888032</v>
      </c>
      <c r="V55">
        <f t="shared" si="4"/>
        <v>4320.0543368690587</v>
      </c>
      <c r="W55">
        <f t="shared" si="5"/>
        <v>4.2728797461119683</v>
      </c>
      <c r="X55">
        <f t="shared" si="6"/>
        <v>18.25750132473388</v>
      </c>
    </row>
    <row r="56" spans="15:24" x14ac:dyDescent="0.3">
      <c r="O56">
        <v>54</v>
      </c>
      <c r="P56">
        <v>168</v>
      </c>
      <c r="Q56">
        <v>60</v>
      </c>
      <c r="R56">
        <f t="shared" si="0"/>
        <v>28224</v>
      </c>
      <c r="S56">
        <f t="shared" si="1"/>
        <v>3600</v>
      </c>
      <c r="T56">
        <f t="shared" si="2"/>
        <v>10080</v>
      </c>
      <c r="U56">
        <f t="shared" si="3"/>
        <v>64.37063162335788</v>
      </c>
      <c r="V56">
        <f t="shared" si="4"/>
        <v>4143.5782155900415</v>
      </c>
      <c r="W56">
        <f t="shared" si="5"/>
        <v>-4.3706316233578804</v>
      </c>
      <c r="X56">
        <f t="shared" si="6"/>
        <v>19.102420787095941</v>
      </c>
    </row>
    <row r="57" spans="15:24" x14ac:dyDescent="0.3">
      <c r="O57">
        <v>55</v>
      </c>
      <c r="P57">
        <v>173</v>
      </c>
      <c r="Q57">
        <v>69</v>
      </c>
      <c r="R57">
        <f t="shared" si="0"/>
        <v>29929</v>
      </c>
      <c r="S57">
        <f t="shared" si="1"/>
        <v>4761</v>
      </c>
      <c r="T57">
        <f t="shared" si="2"/>
        <v>11937</v>
      </c>
      <c r="U57">
        <f t="shared" si="3"/>
        <v>67.761853199683273</v>
      </c>
      <c r="V57">
        <f t="shared" si="4"/>
        <v>4591.6687490554259</v>
      </c>
      <c r="W57">
        <f t="shared" si="5"/>
        <v>1.2381468003167271</v>
      </c>
      <c r="X57">
        <f t="shared" si="6"/>
        <v>1.5330074991345493</v>
      </c>
    </row>
    <row r="58" spans="15:24" x14ac:dyDescent="0.3">
      <c r="O58">
        <v>56</v>
      </c>
      <c r="P58">
        <v>176</v>
      </c>
      <c r="Q58">
        <v>70</v>
      </c>
      <c r="R58">
        <f t="shared" si="0"/>
        <v>30976</v>
      </c>
      <c r="S58">
        <f t="shared" si="1"/>
        <v>4900</v>
      </c>
      <c r="T58">
        <f t="shared" si="2"/>
        <v>12320</v>
      </c>
      <c r="U58">
        <f t="shared" si="3"/>
        <v>69.796586145478514</v>
      </c>
      <c r="V58">
        <f t="shared" si="4"/>
        <v>4871.5634375632035</v>
      </c>
      <c r="W58">
        <f t="shared" si="5"/>
        <v>0.20341385452148586</v>
      </c>
      <c r="X58">
        <f t="shared" si="6"/>
        <v>4.1377196211288214E-2</v>
      </c>
    </row>
    <row r="59" spans="15:24" x14ac:dyDescent="0.3">
      <c r="O59">
        <v>57</v>
      </c>
      <c r="P59">
        <v>170</v>
      </c>
      <c r="Q59">
        <v>58</v>
      </c>
      <c r="R59">
        <f t="shared" si="0"/>
        <v>28900</v>
      </c>
      <c r="S59">
        <f t="shared" si="1"/>
        <v>3364</v>
      </c>
      <c r="T59">
        <f t="shared" si="2"/>
        <v>9860</v>
      </c>
      <c r="U59">
        <f t="shared" si="3"/>
        <v>65.727120253888032</v>
      </c>
      <c r="V59">
        <f t="shared" si="4"/>
        <v>4320.0543368690587</v>
      </c>
      <c r="W59">
        <f t="shared" si="5"/>
        <v>-7.7271202538880317</v>
      </c>
      <c r="X59">
        <f t="shared" si="6"/>
        <v>59.708387418046641</v>
      </c>
    </row>
    <row r="60" spans="15:24" x14ac:dyDescent="0.3">
      <c r="O60">
        <v>58</v>
      </c>
      <c r="P60">
        <v>163</v>
      </c>
      <c r="Q60">
        <v>64</v>
      </c>
      <c r="R60">
        <f t="shared" si="0"/>
        <v>26569</v>
      </c>
      <c r="S60">
        <f t="shared" si="1"/>
        <v>4096</v>
      </c>
      <c r="T60">
        <f t="shared" si="2"/>
        <v>10432</v>
      </c>
      <c r="U60">
        <f t="shared" si="3"/>
        <v>60.979410047032474</v>
      </c>
      <c r="V60">
        <f t="shared" si="4"/>
        <v>3718.488449684125</v>
      </c>
      <c r="W60">
        <f t="shared" si="5"/>
        <v>3.0205899529675264</v>
      </c>
      <c r="X60">
        <f t="shared" si="6"/>
        <v>9.1239636639683628</v>
      </c>
    </row>
    <row r="61" spans="15:24" x14ac:dyDescent="0.3">
      <c r="O61">
        <v>59</v>
      </c>
      <c r="P61">
        <v>165</v>
      </c>
      <c r="Q61">
        <v>57</v>
      </c>
      <c r="R61">
        <f t="shared" si="0"/>
        <v>27225</v>
      </c>
      <c r="S61">
        <f t="shared" si="1"/>
        <v>3249</v>
      </c>
      <c r="T61">
        <f t="shared" si="2"/>
        <v>9405</v>
      </c>
      <c r="U61">
        <f t="shared" si="3"/>
        <v>62.335898677562639</v>
      </c>
      <c r="V61">
        <f t="shared" si="4"/>
        <v>3885.7642639393557</v>
      </c>
      <c r="W61">
        <f t="shared" si="5"/>
        <v>-5.3358986775626391</v>
      </c>
      <c r="X61">
        <f t="shared" si="6"/>
        <v>28.471814697214722</v>
      </c>
    </row>
    <row r="62" spans="15:24" x14ac:dyDescent="0.3">
      <c r="O62">
        <v>60</v>
      </c>
      <c r="P62">
        <v>165</v>
      </c>
      <c r="Q62">
        <v>60</v>
      </c>
      <c r="R62">
        <f t="shared" si="0"/>
        <v>27225</v>
      </c>
      <c r="S62">
        <f t="shared" si="1"/>
        <v>3600</v>
      </c>
      <c r="T62">
        <f t="shared" si="2"/>
        <v>9900</v>
      </c>
      <c r="U62">
        <f t="shared" si="3"/>
        <v>62.335898677562639</v>
      </c>
      <c r="V62">
        <f t="shared" si="4"/>
        <v>3885.7642639393557</v>
      </c>
      <c r="W62">
        <f t="shared" si="5"/>
        <v>-2.3358986775626391</v>
      </c>
      <c r="X62">
        <f t="shared" si="6"/>
        <v>5.456422631838886</v>
      </c>
    </row>
    <row r="63" spans="15:24" x14ac:dyDescent="0.3">
      <c r="O63">
        <v>61</v>
      </c>
      <c r="P63">
        <v>170</v>
      </c>
      <c r="Q63">
        <v>61</v>
      </c>
      <c r="R63">
        <f t="shared" si="0"/>
        <v>28900</v>
      </c>
      <c r="S63">
        <f t="shared" si="1"/>
        <v>3721</v>
      </c>
      <c r="T63">
        <f t="shared" si="2"/>
        <v>10370</v>
      </c>
      <c r="U63">
        <f t="shared" si="3"/>
        <v>65.727120253888032</v>
      </c>
      <c r="V63">
        <f t="shared" si="4"/>
        <v>4320.0543368690587</v>
      </c>
      <c r="W63">
        <f t="shared" si="5"/>
        <v>-4.7271202538880317</v>
      </c>
      <c r="X63">
        <f t="shared" si="6"/>
        <v>22.345665894718451</v>
      </c>
    </row>
    <row r="64" spans="15:24" x14ac:dyDescent="0.3">
      <c r="O64">
        <v>62</v>
      </c>
      <c r="P64">
        <v>166</v>
      </c>
      <c r="Q64">
        <v>55</v>
      </c>
      <c r="R64">
        <f t="shared" si="0"/>
        <v>27556</v>
      </c>
      <c r="S64">
        <f t="shared" si="1"/>
        <v>3025</v>
      </c>
      <c r="T64">
        <f t="shared" si="2"/>
        <v>9130</v>
      </c>
      <c r="U64">
        <f t="shared" si="3"/>
        <v>63.014142992827715</v>
      </c>
      <c r="V64">
        <f t="shared" si="4"/>
        <v>3970.782217120538</v>
      </c>
      <c r="W64">
        <f t="shared" si="5"/>
        <v>-8.0141429928277148</v>
      </c>
      <c r="X64">
        <f t="shared" si="6"/>
        <v>64.226487909489563</v>
      </c>
    </row>
    <row r="65" spans="15:24" x14ac:dyDescent="0.3">
      <c r="O65">
        <v>63</v>
      </c>
      <c r="P65">
        <v>165</v>
      </c>
      <c r="Q65">
        <v>63</v>
      </c>
      <c r="R65">
        <f t="shared" si="0"/>
        <v>27225</v>
      </c>
      <c r="S65">
        <f t="shared" si="1"/>
        <v>3969</v>
      </c>
      <c r="T65">
        <f t="shared" si="2"/>
        <v>10395</v>
      </c>
      <c r="U65">
        <f t="shared" si="3"/>
        <v>62.335898677562639</v>
      </c>
      <c r="V65">
        <f t="shared" si="4"/>
        <v>3885.7642639393557</v>
      </c>
      <c r="W65">
        <f t="shared" si="5"/>
        <v>0.66410132243736086</v>
      </c>
      <c r="X65">
        <f t="shared" si="6"/>
        <v>0.44103056646305155</v>
      </c>
    </row>
    <row r="66" spans="15:24" x14ac:dyDescent="0.3">
      <c r="O66">
        <v>64</v>
      </c>
      <c r="P66">
        <v>181</v>
      </c>
      <c r="Q66">
        <v>77</v>
      </c>
      <c r="R66">
        <f t="shared" si="0"/>
        <v>32761</v>
      </c>
      <c r="S66">
        <f t="shared" si="1"/>
        <v>5929</v>
      </c>
      <c r="T66">
        <f t="shared" si="2"/>
        <v>13937</v>
      </c>
      <c r="U66">
        <f t="shared" si="3"/>
        <v>73.187807721803921</v>
      </c>
      <c r="V66">
        <f t="shared" si="4"/>
        <v>5356.4551991237413</v>
      </c>
      <c r="W66">
        <f t="shared" si="5"/>
        <v>3.8121922781960791</v>
      </c>
      <c r="X66">
        <f t="shared" si="6"/>
        <v>14.532809965937812</v>
      </c>
    </row>
    <row r="67" spans="15:24" x14ac:dyDescent="0.3">
      <c r="O67">
        <v>65</v>
      </c>
      <c r="P67">
        <v>172</v>
      </c>
      <c r="Q67">
        <v>64</v>
      </c>
      <c r="R67">
        <f t="shared" si="0"/>
        <v>29584</v>
      </c>
      <c r="S67">
        <f t="shared" si="1"/>
        <v>4096</v>
      </c>
      <c r="T67">
        <f t="shared" si="2"/>
        <v>11008</v>
      </c>
      <c r="U67">
        <f t="shared" si="3"/>
        <v>67.083608884418197</v>
      </c>
      <c r="V67">
        <f t="shared" si="4"/>
        <v>4500.2105809575924</v>
      </c>
      <c r="W67">
        <f t="shared" si="5"/>
        <v>-3.0836088844181972</v>
      </c>
      <c r="X67">
        <f t="shared" si="6"/>
        <v>9.5086437520628397</v>
      </c>
    </row>
    <row r="68" spans="15:24" x14ac:dyDescent="0.3">
      <c r="O68">
        <v>66</v>
      </c>
      <c r="P68">
        <v>165</v>
      </c>
      <c r="Q68">
        <v>63</v>
      </c>
      <c r="R68">
        <f t="shared" ref="R68:R131" si="7">P68*P68</f>
        <v>27225</v>
      </c>
      <c r="S68">
        <f t="shared" ref="S68:S131" si="8">Q68*Q68</f>
        <v>3969</v>
      </c>
      <c r="T68">
        <f t="shared" ref="T68:T131" si="9">P68*Q68</f>
        <v>10395</v>
      </c>
      <c r="U68">
        <f t="shared" ref="U68:U131" si="10">$I$4*P68+$I$5</f>
        <v>62.335898677562639</v>
      </c>
      <c r="V68">
        <f t="shared" ref="V68:V131" si="11">U68*U68</f>
        <v>3885.7642639393557</v>
      </c>
      <c r="W68">
        <f t="shared" ref="W68:W131" si="12">Q68-U68</f>
        <v>0.66410132243736086</v>
      </c>
      <c r="X68">
        <f t="shared" ref="X68:X131" si="13">W68*W68</f>
        <v>0.44103056646305155</v>
      </c>
    </row>
    <row r="69" spans="15:24" x14ac:dyDescent="0.3">
      <c r="O69">
        <v>67</v>
      </c>
      <c r="P69">
        <v>172</v>
      </c>
      <c r="Q69">
        <v>78</v>
      </c>
      <c r="R69">
        <f t="shared" si="7"/>
        <v>29584</v>
      </c>
      <c r="S69">
        <f t="shared" si="8"/>
        <v>6084</v>
      </c>
      <c r="T69">
        <f t="shared" si="9"/>
        <v>13416</v>
      </c>
      <c r="U69">
        <f t="shared" si="10"/>
        <v>67.083608884418197</v>
      </c>
      <c r="V69">
        <f t="shared" si="11"/>
        <v>4500.2105809575924</v>
      </c>
      <c r="W69">
        <f t="shared" si="12"/>
        <v>10.916391115581803</v>
      </c>
      <c r="X69">
        <f t="shared" si="13"/>
        <v>119.16759498835331</v>
      </c>
    </row>
    <row r="70" spans="15:24" x14ac:dyDescent="0.3">
      <c r="O70">
        <v>68</v>
      </c>
      <c r="P70">
        <v>178</v>
      </c>
      <c r="Q70">
        <v>75</v>
      </c>
      <c r="R70">
        <f t="shared" si="7"/>
        <v>31684</v>
      </c>
      <c r="S70">
        <f t="shared" si="8"/>
        <v>5625</v>
      </c>
      <c r="T70">
        <f t="shared" si="9"/>
        <v>13350</v>
      </c>
      <c r="U70">
        <f t="shared" si="10"/>
        <v>71.15307477600868</v>
      </c>
      <c r="V70">
        <f t="shared" si="11"/>
        <v>5062.7600500802828</v>
      </c>
      <c r="W70">
        <f t="shared" si="12"/>
        <v>3.8469252239913203</v>
      </c>
      <c r="X70">
        <f t="shared" si="13"/>
        <v>14.798833678980669</v>
      </c>
    </row>
    <row r="71" spans="15:24" x14ac:dyDescent="0.3">
      <c r="O71">
        <v>69</v>
      </c>
      <c r="P71">
        <v>169</v>
      </c>
      <c r="Q71">
        <v>74</v>
      </c>
      <c r="R71">
        <f t="shared" si="7"/>
        <v>28561</v>
      </c>
      <c r="S71">
        <f t="shared" si="8"/>
        <v>5476</v>
      </c>
      <c r="T71">
        <f t="shared" si="9"/>
        <v>12506</v>
      </c>
      <c r="U71">
        <f t="shared" si="10"/>
        <v>65.048875938622956</v>
      </c>
      <c r="V71">
        <f t="shared" si="11"/>
        <v>4231.3562608783604</v>
      </c>
      <c r="W71">
        <f t="shared" si="12"/>
        <v>8.951124061377044</v>
      </c>
      <c r="X71">
        <f t="shared" si="13"/>
        <v>80.122621962163066</v>
      </c>
    </row>
    <row r="72" spans="15:24" x14ac:dyDescent="0.3">
      <c r="O72">
        <v>70</v>
      </c>
      <c r="P72">
        <v>165</v>
      </c>
      <c r="Q72">
        <v>63</v>
      </c>
      <c r="R72">
        <f t="shared" si="7"/>
        <v>27225</v>
      </c>
      <c r="S72">
        <f t="shared" si="8"/>
        <v>3969</v>
      </c>
      <c r="T72">
        <f t="shared" si="9"/>
        <v>10395</v>
      </c>
      <c r="U72">
        <f t="shared" si="10"/>
        <v>62.335898677562639</v>
      </c>
      <c r="V72">
        <f t="shared" si="11"/>
        <v>3885.7642639393557</v>
      </c>
      <c r="W72">
        <f t="shared" si="12"/>
        <v>0.66410132243736086</v>
      </c>
      <c r="X72">
        <f t="shared" si="13"/>
        <v>0.44103056646305155</v>
      </c>
    </row>
    <row r="73" spans="15:24" x14ac:dyDescent="0.3">
      <c r="O73">
        <v>71</v>
      </c>
      <c r="P73">
        <v>174</v>
      </c>
      <c r="Q73">
        <v>75</v>
      </c>
      <c r="R73">
        <f t="shared" si="7"/>
        <v>30276</v>
      </c>
      <c r="S73">
        <f t="shared" si="8"/>
        <v>5625</v>
      </c>
      <c r="T73">
        <f t="shared" si="9"/>
        <v>13050</v>
      </c>
      <c r="U73">
        <f t="shared" si="10"/>
        <v>68.440097514948363</v>
      </c>
      <c r="V73">
        <f t="shared" si="11"/>
        <v>4684.0469478556415</v>
      </c>
      <c r="W73">
        <f t="shared" si="12"/>
        <v>6.5599024850516372</v>
      </c>
      <c r="X73">
        <f t="shared" si="13"/>
        <v>43.032320613386645</v>
      </c>
    </row>
    <row r="74" spans="15:24" x14ac:dyDescent="0.3">
      <c r="O74">
        <v>72</v>
      </c>
      <c r="P74">
        <v>159</v>
      </c>
      <c r="Q74">
        <v>54</v>
      </c>
      <c r="R74">
        <f t="shared" si="7"/>
        <v>25281</v>
      </c>
      <c r="S74">
        <f t="shared" si="8"/>
        <v>2916</v>
      </c>
      <c r="T74">
        <f t="shared" si="9"/>
        <v>8586</v>
      </c>
      <c r="U74">
        <f t="shared" si="10"/>
        <v>58.266432785972157</v>
      </c>
      <c r="V74">
        <f t="shared" si="11"/>
        <v>3394.9771896022112</v>
      </c>
      <c r="W74">
        <f t="shared" si="12"/>
        <v>-4.2664327859721567</v>
      </c>
      <c r="X74">
        <f t="shared" si="13"/>
        <v>18.20244871721814</v>
      </c>
    </row>
    <row r="75" spans="15:24" x14ac:dyDescent="0.3">
      <c r="O75">
        <v>73</v>
      </c>
      <c r="P75">
        <v>171</v>
      </c>
      <c r="Q75">
        <v>66</v>
      </c>
      <c r="R75">
        <f t="shared" si="7"/>
        <v>29241</v>
      </c>
      <c r="S75">
        <f t="shared" si="8"/>
        <v>4356</v>
      </c>
      <c r="T75">
        <f t="shared" si="9"/>
        <v>11286</v>
      </c>
      <c r="U75">
        <f t="shared" si="10"/>
        <v>66.405364569153122</v>
      </c>
      <c r="V75">
        <f t="shared" si="11"/>
        <v>4409.6724435621363</v>
      </c>
      <c r="W75">
        <f t="shared" si="12"/>
        <v>-0.40536456915312158</v>
      </c>
      <c r="X75">
        <f t="shared" si="13"/>
        <v>0.16432043392469589</v>
      </c>
    </row>
    <row r="76" spans="15:24" x14ac:dyDescent="0.3">
      <c r="O76">
        <v>74</v>
      </c>
      <c r="P76">
        <v>169</v>
      </c>
      <c r="Q76">
        <v>67</v>
      </c>
      <c r="R76">
        <f t="shared" si="7"/>
        <v>28561</v>
      </c>
      <c r="S76">
        <f t="shared" si="8"/>
        <v>4489</v>
      </c>
      <c r="T76">
        <f t="shared" si="9"/>
        <v>11323</v>
      </c>
      <c r="U76">
        <f t="shared" si="10"/>
        <v>65.048875938622956</v>
      </c>
      <c r="V76">
        <f t="shared" si="11"/>
        <v>4231.3562608783604</v>
      </c>
      <c r="W76">
        <f t="shared" si="12"/>
        <v>1.951124061377044</v>
      </c>
      <c r="X76">
        <f t="shared" si="13"/>
        <v>3.806885102884451</v>
      </c>
    </row>
    <row r="77" spans="15:24" x14ac:dyDescent="0.3">
      <c r="O77">
        <v>75</v>
      </c>
      <c r="P77">
        <v>176</v>
      </c>
      <c r="Q77">
        <v>62</v>
      </c>
      <c r="R77">
        <f t="shared" si="7"/>
        <v>30976</v>
      </c>
      <c r="S77">
        <f t="shared" si="8"/>
        <v>3844</v>
      </c>
      <c r="T77">
        <f t="shared" si="9"/>
        <v>10912</v>
      </c>
      <c r="U77">
        <f t="shared" si="10"/>
        <v>69.796586145478514</v>
      </c>
      <c r="V77">
        <f t="shared" si="11"/>
        <v>4871.5634375632035</v>
      </c>
      <c r="W77">
        <f t="shared" si="12"/>
        <v>-7.7965861454785141</v>
      </c>
      <c r="X77">
        <f t="shared" si="13"/>
        <v>60.786755523867512</v>
      </c>
    </row>
    <row r="78" spans="15:24" x14ac:dyDescent="0.3">
      <c r="O78">
        <v>76</v>
      </c>
      <c r="P78">
        <v>170</v>
      </c>
      <c r="Q78">
        <v>65</v>
      </c>
      <c r="R78">
        <f t="shared" si="7"/>
        <v>28900</v>
      </c>
      <c r="S78">
        <f t="shared" si="8"/>
        <v>4225</v>
      </c>
      <c r="T78">
        <f t="shared" si="9"/>
        <v>11050</v>
      </c>
      <c r="U78">
        <f t="shared" si="10"/>
        <v>65.727120253888032</v>
      </c>
      <c r="V78">
        <f t="shared" si="11"/>
        <v>4320.0543368690587</v>
      </c>
      <c r="W78">
        <f t="shared" si="12"/>
        <v>-0.7271202538880317</v>
      </c>
      <c r="X78">
        <f t="shared" si="13"/>
        <v>0.52870386361419563</v>
      </c>
    </row>
    <row r="79" spans="15:24" x14ac:dyDescent="0.3">
      <c r="O79">
        <v>77</v>
      </c>
      <c r="P79">
        <v>170</v>
      </c>
      <c r="Q79">
        <v>66</v>
      </c>
      <c r="R79">
        <f t="shared" si="7"/>
        <v>28900</v>
      </c>
      <c r="S79">
        <f t="shared" si="8"/>
        <v>4356</v>
      </c>
      <c r="T79">
        <f t="shared" si="9"/>
        <v>11220</v>
      </c>
      <c r="U79">
        <f t="shared" si="10"/>
        <v>65.727120253888032</v>
      </c>
      <c r="V79">
        <f t="shared" si="11"/>
        <v>4320.0543368690587</v>
      </c>
      <c r="W79">
        <f t="shared" si="12"/>
        <v>0.2728797461119683</v>
      </c>
      <c r="X79">
        <f t="shared" si="13"/>
        <v>7.4463355838132281E-2</v>
      </c>
    </row>
    <row r="80" spans="15:24" x14ac:dyDescent="0.3">
      <c r="O80">
        <v>78</v>
      </c>
      <c r="P80">
        <v>165</v>
      </c>
      <c r="Q80">
        <v>61</v>
      </c>
      <c r="R80">
        <f t="shared" si="7"/>
        <v>27225</v>
      </c>
      <c r="S80">
        <f t="shared" si="8"/>
        <v>3721</v>
      </c>
      <c r="T80">
        <f t="shared" si="9"/>
        <v>10065</v>
      </c>
      <c r="U80">
        <f t="shared" si="10"/>
        <v>62.335898677562639</v>
      </c>
      <c r="V80">
        <f t="shared" si="11"/>
        <v>3885.7642639393557</v>
      </c>
      <c r="W80">
        <f t="shared" si="12"/>
        <v>-1.3358986775626391</v>
      </c>
      <c r="X80">
        <f t="shared" si="13"/>
        <v>1.7846252767136082</v>
      </c>
    </row>
    <row r="81" spans="15:24" x14ac:dyDescent="0.3">
      <c r="O81">
        <v>79</v>
      </c>
      <c r="P81">
        <v>162</v>
      </c>
      <c r="Q81">
        <v>66</v>
      </c>
      <c r="R81">
        <f t="shared" si="7"/>
        <v>26244</v>
      </c>
      <c r="S81">
        <f t="shared" si="8"/>
        <v>4356</v>
      </c>
      <c r="T81">
        <f t="shared" si="9"/>
        <v>10692</v>
      </c>
      <c r="U81">
        <f t="shared" si="10"/>
        <v>60.301165731767398</v>
      </c>
      <c r="V81">
        <f t="shared" si="11"/>
        <v>3636.2305886100789</v>
      </c>
      <c r="W81">
        <f t="shared" si="12"/>
        <v>5.6988342682326021</v>
      </c>
      <c r="X81">
        <f t="shared" si="13"/>
        <v>32.476712016782216</v>
      </c>
    </row>
    <row r="82" spans="15:24" x14ac:dyDescent="0.3">
      <c r="O82">
        <v>80</v>
      </c>
      <c r="P82">
        <v>175</v>
      </c>
      <c r="Q82">
        <v>75</v>
      </c>
      <c r="R82">
        <f t="shared" si="7"/>
        <v>30625</v>
      </c>
      <c r="S82">
        <f t="shared" si="8"/>
        <v>5625</v>
      </c>
      <c r="T82">
        <f t="shared" si="9"/>
        <v>13125</v>
      </c>
      <c r="U82">
        <f t="shared" si="10"/>
        <v>69.118341830213438</v>
      </c>
      <c r="V82">
        <f t="shared" si="11"/>
        <v>4777.3451773582328</v>
      </c>
      <c r="W82">
        <f t="shared" si="12"/>
        <v>5.8816581697865615</v>
      </c>
      <c r="X82">
        <f t="shared" si="13"/>
        <v>34.593902826217004</v>
      </c>
    </row>
    <row r="83" spans="15:24" x14ac:dyDescent="0.3">
      <c r="O83">
        <v>81</v>
      </c>
      <c r="P83">
        <v>157</v>
      </c>
      <c r="Q83">
        <v>53</v>
      </c>
      <c r="R83">
        <f t="shared" si="7"/>
        <v>24649</v>
      </c>
      <c r="S83">
        <f t="shared" si="8"/>
        <v>2809</v>
      </c>
      <c r="T83">
        <f t="shared" si="9"/>
        <v>8321</v>
      </c>
      <c r="U83">
        <f t="shared" si="10"/>
        <v>56.909944155442005</v>
      </c>
      <c r="V83">
        <f t="shared" si="11"/>
        <v>3238.7417437755275</v>
      </c>
      <c r="W83">
        <f t="shared" si="12"/>
        <v>-3.9099441554420054</v>
      </c>
      <c r="X83">
        <f t="shared" si="13"/>
        <v>15.287663298675097</v>
      </c>
    </row>
    <row r="84" spans="15:24" x14ac:dyDescent="0.3">
      <c r="O84">
        <v>82</v>
      </c>
      <c r="P84">
        <v>161</v>
      </c>
      <c r="Q84">
        <v>55</v>
      </c>
      <c r="R84">
        <f t="shared" si="7"/>
        <v>25921</v>
      </c>
      <c r="S84">
        <f t="shared" si="8"/>
        <v>3025</v>
      </c>
      <c r="T84">
        <f t="shared" si="9"/>
        <v>8855</v>
      </c>
      <c r="U84">
        <f t="shared" si="10"/>
        <v>59.622921416502322</v>
      </c>
      <c r="V84">
        <f t="shared" si="11"/>
        <v>3554.8927582384113</v>
      </c>
      <c r="W84">
        <f t="shared" si="12"/>
        <v>-4.6229214165023222</v>
      </c>
      <c r="X84">
        <f t="shared" si="13"/>
        <v>21.371402423155839</v>
      </c>
    </row>
    <row r="85" spans="15:24" x14ac:dyDescent="0.3">
      <c r="O85">
        <v>83</v>
      </c>
      <c r="P85">
        <v>172</v>
      </c>
      <c r="Q85">
        <v>66</v>
      </c>
      <c r="R85">
        <f t="shared" si="7"/>
        <v>29584</v>
      </c>
      <c r="S85">
        <f t="shared" si="8"/>
        <v>4356</v>
      </c>
      <c r="T85">
        <f t="shared" si="9"/>
        <v>11352</v>
      </c>
      <c r="U85">
        <f t="shared" si="10"/>
        <v>67.083608884418197</v>
      </c>
      <c r="V85">
        <f t="shared" si="11"/>
        <v>4500.2105809575924</v>
      </c>
      <c r="W85">
        <f t="shared" si="12"/>
        <v>-1.0836088844181972</v>
      </c>
      <c r="X85">
        <f t="shared" si="13"/>
        <v>1.1742082143900501</v>
      </c>
    </row>
    <row r="86" spans="15:24" x14ac:dyDescent="0.3">
      <c r="O86">
        <v>84</v>
      </c>
      <c r="P86">
        <v>159</v>
      </c>
      <c r="Q86">
        <v>55</v>
      </c>
      <c r="R86">
        <f t="shared" si="7"/>
        <v>25281</v>
      </c>
      <c r="S86">
        <f t="shared" si="8"/>
        <v>3025</v>
      </c>
      <c r="T86">
        <f t="shared" si="9"/>
        <v>8745</v>
      </c>
      <c r="U86">
        <f t="shared" si="10"/>
        <v>58.266432785972157</v>
      </c>
      <c r="V86">
        <f t="shared" si="11"/>
        <v>3394.9771896022112</v>
      </c>
      <c r="W86">
        <f t="shared" si="12"/>
        <v>-3.2664327859721567</v>
      </c>
      <c r="X86">
        <f t="shared" si="13"/>
        <v>10.669583145273824</v>
      </c>
    </row>
    <row r="87" spans="15:24" x14ac:dyDescent="0.3">
      <c r="O87">
        <v>85</v>
      </c>
      <c r="P87">
        <v>162</v>
      </c>
      <c r="Q87">
        <v>65</v>
      </c>
      <c r="R87">
        <f t="shared" si="7"/>
        <v>26244</v>
      </c>
      <c r="S87">
        <f t="shared" si="8"/>
        <v>4225</v>
      </c>
      <c r="T87">
        <f t="shared" si="9"/>
        <v>10530</v>
      </c>
      <c r="U87">
        <f t="shared" si="10"/>
        <v>60.301165731767398</v>
      </c>
      <c r="V87">
        <f t="shared" si="11"/>
        <v>3636.2305886100789</v>
      </c>
      <c r="W87">
        <f t="shared" si="12"/>
        <v>4.6988342682326021</v>
      </c>
      <c r="X87">
        <f t="shared" si="13"/>
        <v>22.079043480317011</v>
      </c>
    </row>
    <row r="88" spans="15:24" x14ac:dyDescent="0.3">
      <c r="O88">
        <v>86</v>
      </c>
      <c r="P88">
        <v>167</v>
      </c>
      <c r="Q88">
        <v>63</v>
      </c>
      <c r="R88">
        <f t="shared" si="7"/>
        <v>27889</v>
      </c>
      <c r="S88">
        <f t="shared" si="8"/>
        <v>3969</v>
      </c>
      <c r="T88">
        <f t="shared" si="9"/>
        <v>10521</v>
      </c>
      <c r="U88">
        <f t="shared" si="10"/>
        <v>63.692387308092805</v>
      </c>
      <c r="V88">
        <f t="shared" si="11"/>
        <v>4056.7202010041015</v>
      </c>
      <c r="W88">
        <f t="shared" si="12"/>
        <v>-0.69238730809280469</v>
      </c>
      <c r="X88">
        <f t="shared" si="13"/>
        <v>0.47940018440800042</v>
      </c>
    </row>
    <row r="89" spans="15:24" x14ac:dyDescent="0.3">
      <c r="O89">
        <v>87</v>
      </c>
      <c r="P89">
        <v>159</v>
      </c>
      <c r="Q89">
        <v>68</v>
      </c>
      <c r="R89">
        <f t="shared" si="7"/>
        <v>25281</v>
      </c>
      <c r="S89">
        <f t="shared" si="8"/>
        <v>4624</v>
      </c>
      <c r="T89">
        <f t="shared" si="9"/>
        <v>10812</v>
      </c>
      <c r="U89">
        <f t="shared" si="10"/>
        <v>58.266432785972157</v>
      </c>
      <c r="V89">
        <f t="shared" si="11"/>
        <v>3394.9771896022112</v>
      </c>
      <c r="W89">
        <f t="shared" si="12"/>
        <v>9.7335672140278433</v>
      </c>
      <c r="X89">
        <f t="shared" si="13"/>
        <v>94.742330709997745</v>
      </c>
    </row>
    <row r="90" spans="15:24" x14ac:dyDescent="0.3">
      <c r="O90">
        <v>88</v>
      </c>
      <c r="P90">
        <v>160</v>
      </c>
      <c r="Q90">
        <v>62</v>
      </c>
      <c r="R90">
        <f t="shared" si="7"/>
        <v>25600</v>
      </c>
      <c r="S90">
        <f t="shared" si="8"/>
        <v>3844</v>
      </c>
      <c r="T90">
        <f t="shared" si="9"/>
        <v>9920</v>
      </c>
      <c r="U90">
        <f t="shared" si="10"/>
        <v>58.944677101237247</v>
      </c>
      <c r="V90">
        <f t="shared" si="11"/>
        <v>3474.4749585691225</v>
      </c>
      <c r="W90">
        <f t="shared" si="12"/>
        <v>3.0553228987627534</v>
      </c>
      <c r="X90">
        <f t="shared" si="13"/>
        <v>9.3349980157040342</v>
      </c>
    </row>
    <row r="91" spans="15:24" x14ac:dyDescent="0.3">
      <c r="O91">
        <v>89</v>
      </c>
      <c r="P91">
        <v>175</v>
      </c>
      <c r="Q91">
        <v>75</v>
      </c>
      <c r="R91">
        <f t="shared" si="7"/>
        <v>30625</v>
      </c>
      <c r="S91">
        <f t="shared" si="8"/>
        <v>5625</v>
      </c>
      <c r="T91">
        <f t="shared" si="9"/>
        <v>13125</v>
      </c>
      <c r="U91">
        <f t="shared" si="10"/>
        <v>69.118341830213438</v>
      </c>
      <c r="V91">
        <f t="shared" si="11"/>
        <v>4777.3451773582328</v>
      </c>
      <c r="W91">
        <f t="shared" si="12"/>
        <v>5.8816581697865615</v>
      </c>
      <c r="X91">
        <f t="shared" si="13"/>
        <v>34.593902826217004</v>
      </c>
    </row>
    <row r="92" spans="15:24" x14ac:dyDescent="0.3">
      <c r="O92">
        <v>90</v>
      </c>
      <c r="P92">
        <v>163</v>
      </c>
      <c r="Q92">
        <v>67</v>
      </c>
      <c r="R92">
        <f t="shared" si="7"/>
        <v>26569</v>
      </c>
      <c r="S92">
        <f t="shared" si="8"/>
        <v>4489</v>
      </c>
      <c r="T92">
        <f t="shared" si="9"/>
        <v>10921</v>
      </c>
      <c r="U92">
        <f t="shared" si="10"/>
        <v>60.979410047032474</v>
      </c>
      <c r="V92">
        <f t="shared" si="11"/>
        <v>3718.488449684125</v>
      </c>
      <c r="W92">
        <f t="shared" si="12"/>
        <v>6.0205899529675264</v>
      </c>
      <c r="X92">
        <f t="shared" si="13"/>
        <v>36.247503381773519</v>
      </c>
    </row>
    <row r="93" spans="15:24" x14ac:dyDescent="0.3">
      <c r="O93">
        <v>91</v>
      </c>
      <c r="P93">
        <v>169</v>
      </c>
      <c r="Q93">
        <v>56</v>
      </c>
      <c r="R93">
        <f t="shared" si="7"/>
        <v>28561</v>
      </c>
      <c r="S93">
        <f t="shared" si="8"/>
        <v>3136</v>
      </c>
      <c r="T93">
        <f t="shared" si="9"/>
        <v>9464</v>
      </c>
      <c r="U93">
        <f t="shared" si="10"/>
        <v>65.048875938622956</v>
      </c>
      <c r="V93">
        <f t="shared" si="11"/>
        <v>4231.3562608783604</v>
      </c>
      <c r="W93">
        <f t="shared" si="12"/>
        <v>-9.048875938622956</v>
      </c>
      <c r="X93">
        <f t="shared" si="13"/>
        <v>81.882155752589483</v>
      </c>
    </row>
    <row r="94" spans="15:24" x14ac:dyDescent="0.3">
      <c r="O94">
        <v>92</v>
      </c>
      <c r="P94">
        <v>180</v>
      </c>
      <c r="Q94">
        <v>65</v>
      </c>
      <c r="R94">
        <f t="shared" si="7"/>
        <v>32400</v>
      </c>
      <c r="S94">
        <f t="shared" si="8"/>
        <v>4225</v>
      </c>
      <c r="T94">
        <f t="shared" si="9"/>
        <v>11700</v>
      </c>
      <c r="U94">
        <f t="shared" si="10"/>
        <v>72.509563406538831</v>
      </c>
      <c r="V94">
        <f t="shared" si="11"/>
        <v>5257.6367854068749</v>
      </c>
      <c r="W94">
        <f t="shared" si="12"/>
        <v>-7.509563406538831</v>
      </c>
      <c r="X94">
        <f t="shared" si="13"/>
        <v>56.393542556827093</v>
      </c>
    </row>
    <row r="95" spans="15:24" x14ac:dyDescent="0.3">
      <c r="O95">
        <v>93</v>
      </c>
      <c r="P95">
        <v>165</v>
      </c>
      <c r="Q95">
        <v>63</v>
      </c>
      <c r="R95">
        <f t="shared" si="7"/>
        <v>27225</v>
      </c>
      <c r="S95">
        <f t="shared" si="8"/>
        <v>3969</v>
      </c>
      <c r="T95">
        <f t="shared" si="9"/>
        <v>10395</v>
      </c>
      <c r="U95">
        <f t="shared" si="10"/>
        <v>62.335898677562639</v>
      </c>
      <c r="V95">
        <f t="shared" si="11"/>
        <v>3885.7642639393557</v>
      </c>
      <c r="W95">
        <f t="shared" si="12"/>
        <v>0.66410132243736086</v>
      </c>
      <c r="X95">
        <f t="shared" si="13"/>
        <v>0.44103056646305155</v>
      </c>
    </row>
    <row r="96" spans="15:24" x14ac:dyDescent="0.3">
      <c r="O96">
        <v>94</v>
      </c>
      <c r="P96">
        <v>168</v>
      </c>
      <c r="Q96">
        <v>67</v>
      </c>
      <c r="R96">
        <f t="shared" si="7"/>
        <v>28224</v>
      </c>
      <c r="S96">
        <f t="shared" si="8"/>
        <v>4489</v>
      </c>
      <c r="T96">
        <f t="shared" si="9"/>
        <v>11256</v>
      </c>
      <c r="U96">
        <f t="shared" si="10"/>
        <v>64.37063162335788</v>
      </c>
      <c r="V96">
        <f t="shared" si="11"/>
        <v>4143.5782155900415</v>
      </c>
      <c r="W96">
        <f t="shared" si="12"/>
        <v>2.6293683766421196</v>
      </c>
      <c r="X96">
        <f t="shared" si="13"/>
        <v>6.9135780600856158</v>
      </c>
    </row>
    <row r="97" spans="15:24" x14ac:dyDescent="0.3">
      <c r="O97">
        <v>95</v>
      </c>
      <c r="P97">
        <v>169</v>
      </c>
      <c r="Q97">
        <v>68</v>
      </c>
      <c r="R97">
        <f t="shared" si="7"/>
        <v>28561</v>
      </c>
      <c r="S97">
        <f t="shared" si="8"/>
        <v>4624</v>
      </c>
      <c r="T97">
        <f t="shared" si="9"/>
        <v>11492</v>
      </c>
      <c r="U97">
        <f t="shared" si="10"/>
        <v>65.048875938622956</v>
      </c>
      <c r="V97">
        <f t="shared" si="11"/>
        <v>4231.3562608783604</v>
      </c>
      <c r="W97">
        <f t="shared" si="12"/>
        <v>2.951124061377044</v>
      </c>
      <c r="X97">
        <f t="shared" si="13"/>
        <v>8.7091332256385385</v>
      </c>
    </row>
    <row r="98" spans="15:24" x14ac:dyDescent="0.3">
      <c r="O98">
        <v>96</v>
      </c>
      <c r="P98">
        <v>170</v>
      </c>
      <c r="Q98">
        <v>69</v>
      </c>
      <c r="R98">
        <f t="shared" si="7"/>
        <v>28900</v>
      </c>
      <c r="S98">
        <f t="shared" si="8"/>
        <v>4761</v>
      </c>
      <c r="T98">
        <f t="shared" si="9"/>
        <v>11730</v>
      </c>
      <c r="U98">
        <f t="shared" si="10"/>
        <v>65.727120253888032</v>
      </c>
      <c r="V98">
        <f t="shared" si="11"/>
        <v>4320.0543368690587</v>
      </c>
      <c r="W98">
        <f t="shared" si="12"/>
        <v>3.2728797461119683</v>
      </c>
      <c r="X98">
        <f t="shared" si="13"/>
        <v>10.711741832509942</v>
      </c>
    </row>
    <row r="99" spans="15:24" x14ac:dyDescent="0.3">
      <c r="O99">
        <v>97</v>
      </c>
      <c r="P99">
        <v>163</v>
      </c>
      <c r="Q99">
        <v>57</v>
      </c>
      <c r="R99">
        <f t="shared" si="7"/>
        <v>26569</v>
      </c>
      <c r="S99">
        <f t="shared" si="8"/>
        <v>3249</v>
      </c>
      <c r="T99">
        <f t="shared" si="9"/>
        <v>9291</v>
      </c>
      <c r="U99">
        <f t="shared" si="10"/>
        <v>60.979410047032474</v>
      </c>
      <c r="V99">
        <f t="shared" si="11"/>
        <v>3718.488449684125</v>
      </c>
      <c r="W99">
        <f t="shared" si="12"/>
        <v>-3.9794100470324736</v>
      </c>
      <c r="X99">
        <f t="shared" si="13"/>
        <v>15.835704322422993</v>
      </c>
    </row>
    <row r="100" spans="15:24" x14ac:dyDescent="0.3">
      <c r="O100">
        <v>98</v>
      </c>
      <c r="P100">
        <v>178</v>
      </c>
      <c r="Q100">
        <v>75</v>
      </c>
      <c r="R100">
        <f t="shared" si="7"/>
        <v>31684</v>
      </c>
      <c r="S100">
        <f t="shared" si="8"/>
        <v>5625</v>
      </c>
      <c r="T100">
        <f t="shared" si="9"/>
        <v>13350</v>
      </c>
      <c r="U100">
        <f t="shared" si="10"/>
        <v>71.15307477600868</v>
      </c>
      <c r="V100">
        <f t="shared" si="11"/>
        <v>5062.7600500802828</v>
      </c>
      <c r="W100">
        <f t="shared" si="12"/>
        <v>3.8469252239913203</v>
      </c>
      <c r="X100">
        <f t="shared" si="13"/>
        <v>14.798833678980669</v>
      </c>
    </row>
    <row r="101" spans="15:24" x14ac:dyDescent="0.3">
      <c r="O101">
        <v>99</v>
      </c>
      <c r="P101">
        <v>162</v>
      </c>
      <c r="Q101">
        <v>53</v>
      </c>
      <c r="R101">
        <f t="shared" si="7"/>
        <v>26244</v>
      </c>
      <c r="S101">
        <f t="shared" si="8"/>
        <v>2809</v>
      </c>
      <c r="T101">
        <f t="shared" si="9"/>
        <v>8586</v>
      </c>
      <c r="U101">
        <f t="shared" si="10"/>
        <v>60.301165731767398</v>
      </c>
      <c r="V101">
        <f t="shared" si="11"/>
        <v>3636.2305886100789</v>
      </c>
      <c r="W101">
        <f t="shared" si="12"/>
        <v>-7.3011657317673979</v>
      </c>
      <c r="X101">
        <f t="shared" si="13"/>
        <v>53.307021042734561</v>
      </c>
    </row>
    <row r="102" spans="15:24" x14ac:dyDescent="0.3">
      <c r="O102">
        <v>100</v>
      </c>
      <c r="P102">
        <v>178</v>
      </c>
      <c r="Q102">
        <v>69</v>
      </c>
      <c r="R102">
        <f t="shared" si="7"/>
        <v>31684</v>
      </c>
      <c r="S102">
        <f t="shared" si="8"/>
        <v>4761</v>
      </c>
      <c r="T102">
        <f t="shared" si="9"/>
        <v>12282</v>
      </c>
      <c r="U102">
        <f t="shared" si="10"/>
        <v>71.15307477600868</v>
      </c>
      <c r="V102">
        <f t="shared" si="11"/>
        <v>5062.7600500802828</v>
      </c>
      <c r="W102">
        <f t="shared" si="12"/>
        <v>-2.1530747760086797</v>
      </c>
      <c r="X102">
        <f t="shared" si="13"/>
        <v>4.6357309910848263</v>
      </c>
    </row>
    <row r="103" spans="15:24" x14ac:dyDescent="0.3">
      <c r="O103">
        <v>101</v>
      </c>
      <c r="P103">
        <v>164</v>
      </c>
      <c r="Q103">
        <v>70</v>
      </c>
      <c r="R103">
        <f t="shared" si="7"/>
        <v>26896</v>
      </c>
      <c r="S103">
        <f t="shared" si="8"/>
        <v>4900</v>
      </c>
      <c r="T103">
        <f t="shared" si="9"/>
        <v>11480</v>
      </c>
      <c r="U103">
        <f t="shared" si="10"/>
        <v>61.657654362297563</v>
      </c>
      <c r="V103">
        <f t="shared" si="11"/>
        <v>3801.6663414605518</v>
      </c>
      <c r="W103">
        <f t="shared" si="12"/>
        <v>8.3423456377024365</v>
      </c>
      <c r="X103">
        <f t="shared" si="13"/>
        <v>69.594730738892878</v>
      </c>
    </row>
    <row r="104" spans="15:24" x14ac:dyDescent="0.3">
      <c r="O104">
        <v>102</v>
      </c>
      <c r="P104">
        <v>176</v>
      </c>
      <c r="Q104">
        <v>67</v>
      </c>
      <c r="R104">
        <f t="shared" si="7"/>
        <v>30976</v>
      </c>
      <c r="S104">
        <f t="shared" si="8"/>
        <v>4489</v>
      </c>
      <c r="T104">
        <f t="shared" si="9"/>
        <v>11792</v>
      </c>
      <c r="U104">
        <f t="shared" si="10"/>
        <v>69.796586145478514</v>
      </c>
      <c r="V104">
        <f t="shared" si="11"/>
        <v>4871.5634375632035</v>
      </c>
      <c r="W104">
        <f t="shared" si="12"/>
        <v>-2.7965861454785141</v>
      </c>
      <c r="X104">
        <f t="shared" si="13"/>
        <v>7.8208940690823727</v>
      </c>
    </row>
    <row r="105" spans="15:24" x14ac:dyDescent="0.3">
      <c r="O105">
        <v>103</v>
      </c>
      <c r="P105">
        <v>163</v>
      </c>
      <c r="Q105">
        <v>58</v>
      </c>
      <c r="R105">
        <f t="shared" si="7"/>
        <v>26569</v>
      </c>
      <c r="S105">
        <f t="shared" si="8"/>
        <v>3364</v>
      </c>
      <c r="T105">
        <f t="shared" si="9"/>
        <v>9454</v>
      </c>
      <c r="U105">
        <f t="shared" si="10"/>
        <v>60.979410047032474</v>
      </c>
      <c r="V105">
        <f t="shared" si="11"/>
        <v>3718.488449684125</v>
      </c>
      <c r="W105">
        <f t="shared" si="12"/>
        <v>-2.9794100470324736</v>
      </c>
      <c r="X105">
        <f t="shared" si="13"/>
        <v>8.8768842283580458</v>
      </c>
    </row>
    <row r="106" spans="15:24" x14ac:dyDescent="0.3">
      <c r="O106">
        <v>104</v>
      </c>
      <c r="P106">
        <v>164</v>
      </c>
      <c r="Q106">
        <v>62</v>
      </c>
      <c r="R106">
        <f t="shared" si="7"/>
        <v>26896</v>
      </c>
      <c r="S106">
        <f t="shared" si="8"/>
        <v>3844</v>
      </c>
      <c r="T106">
        <f t="shared" si="9"/>
        <v>10168</v>
      </c>
      <c r="U106">
        <f t="shared" si="10"/>
        <v>61.657654362297563</v>
      </c>
      <c r="V106">
        <f t="shared" si="11"/>
        <v>3801.6663414605518</v>
      </c>
      <c r="W106">
        <f t="shared" si="12"/>
        <v>0.34234563770243653</v>
      </c>
      <c r="X106">
        <f t="shared" si="13"/>
        <v>0.11720053565388794</v>
      </c>
    </row>
    <row r="107" spans="15:24" x14ac:dyDescent="0.3">
      <c r="O107">
        <v>105</v>
      </c>
      <c r="P107">
        <v>170</v>
      </c>
      <c r="Q107">
        <v>68</v>
      </c>
      <c r="R107">
        <f t="shared" si="7"/>
        <v>28900</v>
      </c>
      <c r="S107">
        <f t="shared" si="8"/>
        <v>4624</v>
      </c>
      <c r="T107">
        <f t="shared" si="9"/>
        <v>11560</v>
      </c>
      <c r="U107">
        <f t="shared" si="10"/>
        <v>65.727120253888032</v>
      </c>
      <c r="V107">
        <f t="shared" si="11"/>
        <v>4320.0543368690587</v>
      </c>
      <c r="W107">
        <f t="shared" si="12"/>
        <v>2.2728797461119683</v>
      </c>
      <c r="X107">
        <f t="shared" si="13"/>
        <v>5.1659823402860052</v>
      </c>
    </row>
    <row r="108" spans="15:24" x14ac:dyDescent="0.3">
      <c r="O108">
        <v>106</v>
      </c>
      <c r="P108">
        <v>177</v>
      </c>
      <c r="Q108">
        <v>60</v>
      </c>
      <c r="R108">
        <f t="shared" si="7"/>
        <v>31329</v>
      </c>
      <c r="S108">
        <f t="shared" si="8"/>
        <v>3600</v>
      </c>
      <c r="T108">
        <f t="shared" si="9"/>
        <v>10620</v>
      </c>
      <c r="U108">
        <f t="shared" si="10"/>
        <v>70.474830460743604</v>
      </c>
      <c r="V108">
        <f t="shared" si="11"/>
        <v>4966.7017284705544</v>
      </c>
      <c r="W108">
        <f t="shared" si="12"/>
        <v>-10.474830460743604</v>
      </c>
      <c r="X108">
        <f t="shared" si="13"/>
        <v>109.72207318132206</v>
      </c>
    </row>
    <row r="109" spans="15:24" x14ac:dyDescent="0.3">
      <c r="O109">
        <v>107</v>
      </c>
      <c r="P109">
        <v>180</v>
      </c>
      <c r="Q109">
        <v>75</v>
      </c>
      <c r="R109">
        <f t="shared" si="7"/>
        <v>32400</v>
      </c>
      <c r="S109">
        <f t="shared" si="8"/>
        <v>5625</v>
      </c>
      <c r="T109">
        <f t="shared" si="9"/>
        <v>13500</v>
      </c>
      <c r="U109">
        <f t="shared" si="10"/>
        <v>72.509563406538831</v>
      </c>
      <c r="V109">
        <f t="shared" si="11"/>
        <v>5257.6367854068749</v>
      </c>
      <c r="W109">
        <f t="shared" si="12"/>
        <v>2.490436593461169</v>
      </c>
      <c r="X109">
        <f t="shared" si="13"/>
        <v>6.2022744260504714</v>
      </c>
    </row>
    <row r="110" spans="15:24" x14ac:dyDescent="0.3">
      <c r="O110">
        <v>108</v>
      </c>
      <c r="P110">
        <v>175</v>
      </c>
      <c r="Q110">
        <v>75</v>
      </c>
      <c r="R110">
        <f t="shared" si="7"/>
        <v>30625</v>
      </c>
      <c r="S110">
        <f t="shared" si="8"/>
        <v>5625</v>
      </c>
      <c r="T110">
        <f t="shared" si="9"/>
        <v>13125</v>
      </c>
      <c r="U110">
        <f t="shared" si="10"/>
        <v>69.118341830213438</v>
      </c>
      <c r="V110">
        <f t="shared" si="11"/>
        <v>4777.3451773582328</v>
      </c>
      <c r="W110">
        <f t="shared" si="12"/>
        <v>5.8816581697865615</v>
      </c>
      <c r="X110">
        <f t="shared" si="13"/>
        <v>34.593902826217004</v>
      </c>
    </row>
    <row r="111" spans="15:24" x14ac:dyDescent="0.3">
      <c r="O111">
        <v>109</v>
      </c>
      <c r="P111">
        <v>168</v>
      </c>
      <c r="Q111">
        <v>55</v>
      </c>
      <c r="R111">
        <f t="shared" si="7"/>
        <v>28224</v>
      </c>
      <c r="S111">
        <f t="shared" si="8"/>
        <v>3025</v>
      </c>
      <c r="T111">
        <f t="shared" si="9"/>
        <v>9240</v>
      </c>
      <c r="U111">
        <f t="shared" si="10"/>
        <v>64.37063162335788</v>
      </c>
      <c r="V111">
        <f t="shared" si="11"/>
        <v>4143.5782155900415</v>
      </c>
      <c r="W111">
        <f t="shared" si="12"/>
        <v>-9.3706316233578804</v>
      </c>
      <c r="X111">
        <f t="shared" si="13"/>
        <v>87.808737020674741</v>
      </c>
    </row>
    <row r="112" spans="15:24" x14ac:dyDescent="0.3">
      <c r="O112">
        <v>110</v>
      </c>
      <c r="P112">
        <v>175</v>
      </c>
      <c r="Q112">
        <v>67</v>
      </c>
      <c r="R112">
        <f t="shared" si="7"/>
        <v>30625</v>
      </c>
      <c r="S112">
        <f t="shared" si="8"/>
        <v>4489</v>
      </c>
      <c r="T112">
        <f t="shared" si="9"/>
        <v>11725</v>
      </c>
      <c r="U112">
        <f t="shared" si="10"/>
        <v>69.118341830213438</v>
      </c>
      <c r="V112">
        <f t="shared" si="11"/>
        <v>4777.3451773582328</v>
      </c>
      <c r="W112">
        <f t="shared" si="12"/>
        <v>-2.1183418302134385</v>
      </c>
      <c r="X112">
        <f t="shared" si="13"/>
        <v>4.4873721096320205</v>
      </c>
    </row>
    <row r="113" spans="15:24" x14ac:dyDescent="0.3">
      <c r="O113">
        <v>111</v>
      </c>
      <c r="P113">
        <v>171</v>
      </c>
      <c r="Q113">
        <v>63</v>
      </c>
      <c r="R113">
        <f t="shared" si="7"/>
        <v>29241</v>
      </c>
      <c r="S113">
        <f t="shared" si="8"/>
        <v>3969</v>
      </c>
      <c r="T113">
        <f t="shared" si="9"/>
        <v>10773</v>
      </c>
      <c r="U113">
        <f t="shared" si="10"/>
        <v>66.405364569153122</v>
      </c>
      <c r="V113">
        <f t="shared" si="11"/>
        <v>4409.6724435621363</v>
      </c>
      <c r="W113">
        <f t="shared" si="12"/>
        <v>-3.4053645691531216</v>
      </c>
      <c r="X113">
        <f t="shared" si="13"/>
        <v>11.596507848843425</v>
      </c>
    </row>
    <row r="114" spans="15:24" x14ac:dyDescent="0.3">
      <c r="O114">
        <v>112</v>
      </c>
      <c r="P114">
        <v>170</v>
      </c>
      <c r="Q114">
        <v>65</v>
      </c>
      <c r="R114">
        <f t="shared" si="7"/>
        <v>28900</v>
      </c>
      <c r="S114">
        <f t="shared" si="8"/>
        <v>4225</v>
      </c>
      <c r="T114">
        <f t="shared" si="9"/>
        <v>11050</v>
      </c>
      <c r="U114">
        <f t="shared" si="10"/>
        <v>65.727120253888032</v>
      </c>
      <c r="V114">
        <f t="shared" si="11"/>
        <v>4320.0543368690587</v>
      </c>
      <c r="W114">
        <f t="shared" si="12"/>
        <v>-0.7271202538880317</v>
      </c>
      <c r="X114">
        <f t="shared" si="13"/>
        <v>0.52870386361419563</v>
      </c>
    </row>
    <row r="115" spans="15:24" x14ac:dyDescent="0.3">
      <c r="O115">
        <v>113</v>
      </c>
      <c r="P115">
        <v>168</v>
      </c>
      <c r="Q115">
        <v>64</v>
      </c>
      <c r="R115">
        <f t="shared" si="7"/>
        <v>28224</v>
      </c>
      <c r="S115">
        <f t="shared" si="8"/>
        <v>4096</v>
      </c>
      <c r="T115">
        <f t="shared" si="9"/>
        <v>10752</v>
      </c>
      <c r="U115">
        <f t="shared" si="10"/>
        <v>64.37063162335788</v>
      </c>
      <c r="V115">
        <f t="shared" si="11"/>
        <v>4143.5782155900415</v>
      </c>
      <c r="W115">
        <f t="shared" si="12"/>
        <v>-0.37063162335788036</v>
      </c>
      <c r="X115">
        <f t="shared" si="13"/>
        <v>0.13736780023289769</v>
      </c>
    </row>
    <row r="116" spans="15:24" x14ac:dyDescent="0.3">
      <c r="O116">
        <v>114</v>
      </c>
      <c r="P116">
        <v>160</v>
      </c>
      <c r="Q116">
        <v>57</v>
      </c>
      <c r="R116">
        <f t="shared" si="7"/>
        <v>25600</v>
      </c>
      <c r="S116">
        <f t="shared" si="8"/>
        <v>3249</v>
      </c>
      <c r="T116">
        <f t="shared" si="9"/>
        <v>9120</v>
      </c>
      <c r="U116">
        <f t="shared" si="10"/>
        <v>58.944677101237247</v>
      </c>
      <c r="V116">
        <f t="shared" si="11"/>
        <v>3474.4749585691225</v>
      </c>
      <c r="W116">
        <f t="shared" si="12"/>
        <v>-1.9446771012372466</v>
      </c>
      <c r="X116">
        <f t="shared" si="13"/>
        <v>3.7817690280764999</v>
      </c>
    </row>
    <row r="117" spans="15:24" x14ac:dyDescent="0.3">
      <c r="O117">
        <v>115</v>
      </c>
      <c r="P117">
        <v>171</v>
      </c>
      <c r="Q117">
        <v>66</v>
      </c>
      <c r="R117">
        <f t="shared" si="7"/>
        <v>29241</v>
      </c>
      <c r="S117">
        <f t="shared" si="8"/>
        <v>4356</v>
      </c>
      <c r="T117">
        <f t="shared" si="9"/>
        <v>11286</v>
      </c>
      <c r="U117">
        <f t="shared" si="10"/>
        <v>66.405364569153122</v>
      </c>
      <c r="V117">
        <f t="shared" si="11"/>
        <v>4409.6724435621363</v>
      </c>
      <c r="W117">
        <f t="shared" si="12"/>
        <v>-0.40536456915312158</v>
      </c>
      <c r="X117">
        <f t="shared" si="13"/>
        <v>0.16432043392469589</v>
      </c>
    </row>
    <row r="118" spans="15:24" x14ac:dyDescent="0.3">
      <c r="O118">
        <v>116</v>
      </c>
      <c r="P118">
        <v>180</v>
      </c>
      <c r="Q118">
        <v>65</v>
      </c>
      <c r="R118">
        <f t="shared" si="7"/>
        <v>32400</v>
      </c>
      <c r="S118">
        <f t="shared" si="8"/>
        <v>4225</v>
      </c>
      <c r="T118">
        <f t="shared" si="9"/>
        <v>11700</v>
      </c>
      <c r="U118">
        <f t="shared" si="10"/>
        <v>72.509563406538831</v>
      </c>
      <c r="V118">
        <f t="shared" si="11"/>
        <v>5257.6367854068749</v>
      </c>
      <c r="W118">
        <f t="shared" si="12"/>
        <v>-7.509563406538831</v>
      </c>
      <c r="X118">
        <f t="shared" si="13"/>
        <v>56.393542556827093</v>
      </c>
    </row>
    <row r="119" spans="15:24" x14ac:dyDescent="0.3">
      <c r="O119">
        <v>117</v>
      </c>
      <c r="P119">
        <v>165</v>
      </c>
      <c r="Q119">
        <v>57</v>
      </c>
      <c r="R119">
        <f t="shared" si="7"/>
        <v>27225</v>
      </c>
      <c r="S119">
        <f t="shared" si="8"/>
        <v>3249</v>
      </c>
      <c r="T119">
        <f t="shared" si="9"/>
        <v>9405</v>
      </c>
      <c r="U119">
        <f t="shared" si="10"/>
        <v>62.335898677562639</v>
      </c>
      <c r="V119">
        <f t="shared" si="11"/>
        <v>3885.7642639393557</v>
      </c>
      <c r="W119">
        <f t="shared" si="12"/>
        <v>-5.3358986775626391</v>
      </c>
      <c r="X119">
        <f t="shared" si="13"/>
        <v>28.471814697214722</v>
      </c>
    </row>
    <row r="120" spans="15:24" x14ac:dyDescent="0.3">
      <c r="O120">
        <v>118</v>
      </c>
      <c r="P120">
        <v>176</v>
      </c>
      <c r="Q120">
        <v>77</v>
      </c>
      <c r="R120">
        <f t="shared" si="7"/>
        <v>30976</v>
      </c>
      <c r="S120">
        <f t="shared" si="8"/>
        <v>5929</v>
      </c>
      <c r="T120">
        <f t="shared" si="9"/>
        <v>13552</v>
      </c>
      <c r="U120">
        <f t="shared" si="10"/>
        <v>69.796586145478514</v>
      </c>
      <c r="V120">
        <f t="shared" si="11"/>
        <v>4871.5634375632035</v>
      </c>
      <c r="W120">
        <f t="shared" si="12"/>
        <v>7.2034138545214859</v>
      </c>
      <c r="X120">
        <f t="shared" si="13"/>
        <v>51.889171159512088</v>
      </c>
    </row>
    <row r="121" spans="15:24" x14ac:dyDescent="0.3">
      <c r="O121">
        <v>119</v>
      </c>
      <c r="P121">
        <v>167</v>
      </c>
      <c r="Q121">
        <v>68</v>
      </c>
      <c r="R121">
        <f t="shared" si="7"/>
        <v>27889</v>
      </c>
      <c r="S121">
        <f t="shared" si="8"/>
        <v>4624</v>
      </c>
      <c r="T121">
        <f t="shared" si="9"/>
        <v>11356</v>
      </c>
      <c r="U121">
        <f t="shared" si="10"/>
        <v>63.692387308092805</v>
      </c>
      <c r="V121">
        <f t="shared" si="11"/>
        <v>4056.7202010041015</v>
      </c>
      <c r="W121">
        <f t="shared" si="12"/>
        <v>4.3076126919071953</v>
      </c>
      <c r="X121">
        <f t="shared" si="13"/>
        <v>18.555527103479953</v>
      </c>
    </row>
    <row r="122" spans="15:24" x14ac:dyDescent="0.3">
      <c r="O122">
        <v>120</v>
      </c>
      <c r="P122">
        <v>163</v>
      </c>
      <c r="Q122">
        <v>54</v>
      </c>
      <c r="R122">
        <f t="shared" si="7"/>
        <v>26569</v>
      </c>
      <c r="S122">
        <f t="shared" si="8"/>
        <v>2916</v>
      </c>
      <c r="T122">
        <f t="shared" si="9"/>
        <v>8802</v>
      </c>
      <c r="U122">
        <f t="shared" si="10"/>
        <v>60.979410047032474</v>
      </c>
      <c r="V122">
        <f t="shared" si="11"/>
        <v>3718.488449684125</v>
      </c>
      <c r="W122">
        <f t="shared" si="12"/>
        <v>-6.9794100470324736</v>
      </c>
      <c r="X122">
        <f t="shared" si="13"/>
        <v>48.712164604617833</v>
      </c>
    </row>
    <row r="123" spans="15:24" x14ac:dyDescent="0.3">
      <c r="O123">
        <v>121</v>
      </c>
      <c r="P123">
        <v>170</v>
      </c>
      <c r="Q123">
        <v>75</v>
      </c>
      <c r="R123">
        <f t="shared" si="7"/>
        <v>28900</v>
      </c>
      <c r="S123">
        <f t="shared" si="8"/>
        <v>5625</v>
      </c>
      <c r="T123">
        <f t="shared" si="9"/>
        <v>12750</v>
      </c>
      <c r="U123">
        <f t="shared" si="10"/>
        <v>65.727120253888032</v>
      </c>
      <c r="V123">
        <f t="shared" si="11"/>
        <v>4320.0543368690587</v>
      </c>
      <c r="W123">
        <f t="shared" si="12"/>
        <v>9.2728797461119683</v>
      </c>
      <c r="X123">
        <f t="shared" si="13"/>
        <v>85.986298785853563</v>
      </c>
    </row>
    <row r="124" spans="15:24" x14ac:dyDescent="0.3">
      <c r="O124">
        <v>122</v>
      </c>
      <c r="P124">
        <v>174</v>
      </c>
      <c r="Q124">
        <v>67</v>
      </c>
      <c r="R124">
        <f t="shared" si="7"/>
        <v>30276</v>
      </c>
      <c r="S124">
        <f t="shared" si="8"/>
        <v>4489</v>
      </c>
      <c r="T124">
        <f t="shared" si="9"/>
        <v>11658</v>
      </c>
      <c r="U124">
        <f t="shared" si="10"/>
        <v>68.440097514948363</v>
      </c>
      <c r="V124">
        <f t="shared" si="11"/>
        <v>4684.0469478556415</v>
      </c>
      <c r="W124">
        <f t="shared" si="12"/>
        <v>-1.4400975149483628</v>
      </c>
      <c r="X124">
        <f t="shared" si="13"/>
        <v>2.0738808525604502</v>
      </c>
    </row>
    <row r="125" spans="15:24" x14ac:dyDescent="0.3">
      <c r="O125">
        <v>123</v>
      </c>
      <c r="P125">
        <v>167</v>
      </c>
      <c r="Q125">
        <v>65</v>
      </c>
      <c r="R125">
        <f t="shared" si="7"/>
        <v>27889</v>
      </c>
      <c r="S125">
        <f t="shared" si="8"/>
        <v>4225</v>
      </c>
      <c r="T125">
        <f t="shared" si="9"/>
        <v>10855</v>
      </c>
      <c r="U125">
        <f t="shared" si="10"/>
        <v>63.692387308092805</v>
      </c>
      <c r="V125">
        <f t="shared" si="11"/>
        <v>4056.7202010041015</v>
      </c>
      <c r="W125">
        <f t="shared" si="12"/>
        <v>1.3076126919071953</v>
      </c>
      <c r="X125">
        <f t="shared" si="13"/>
        <v>1.7098509520367817</v>
      </c>
    </row>
    <row r="126" spans="15:24" x14ac:dyDescent="0.3">
      <c r="O126">
        <v>124</v>
      </c>
      <c r="P126">
        <v>172</v>
      </c>
      <c r="Q126">
        <v>73</v>
      </c>
      <c r="R126">
        <f t="shared" si="7"/>
        <v>29584</v>
      </c>
      <c r="S126">
        <f t="shared" si="8"/>
        <v>5329</v>
      </c>
      <c r="T126">
        <f t="shared" si="9"/>
        <v>12556</v>
      </c>
      <c r="U126">
        <f t="shared" si="10"/>
        <v>67.083608884418197</v>
      </c>
      <c r="V126">
        <f t="shared" si="11"/>
        <v>4500.2105809575924</v>
      </c>
      <c r="W126">
        <f t="shared" si="12"/>
        <v>5.9163911155818028</v>
      </c>
      <c r="X126">
        <f t="shared" si="13"/>
        <v>35.003683832535287</v>
      </c>
    </row>
    <row r="127" spans="15:24" x14ac:dyDescent="0.3">
      <c r="O127">
        <v>125</v>
      </c>
      <c r="P127">
        <v>173</v>
      </c>
      <c r="Q127">
        <v>69</v>
      </c>
      <c r="R127">
        <f t="shared" si="7"/>
        <v>29929</v>
      </c>
      <c r="S127">
        <f t="shared" si="8"/>
        <v>4761</v>
      </c>
      <c r="T127">
        <f t="shared" si="9"/>
        <v>11937</v>
      </c>
      <c r="U127">
        <f t="shared" si="10"/>
        <v>67.761853199683273</v>
      </c>
      <c r="V127">
        <f t="shared" si="11"/>
        <v>4591.6687490554259</v>
      </c>
      <c r="W127">
        <f t="shared" si="12"/>
        <v>1.2381468003167271</v>
      </c>
      <c r="X127">
        <f t="shared" si="13"/>
        <v>1.5330074991345493</v>
      </c>
    </row>
    <row r="128" spans="15:24" x14ac:dyDescent="0.3">
      <c r="O128">
        <v>126</v>
      </c>
      <c r="P128">
        <v>164</v>
      </c>
      <c r="Q128">
        <v>65</v>
      </c>
      <c r="R128">
        <f t="shared" si="7"/>
        <v>26896</v>
      </c>
      <c r="S128">
        <f t="shared" si="8"/>
        <v>4225</v>
      </c>
      <c r="T128">
        <f t="shared" si="9"/>
        <v>10660</v>
      </c>
      <c r="U128">
        <f t="shared" si="10"/>
        <v>61.657654362297563</v>
      </c>
      <c r="V128">
        <f t="shared" si="11"/>
        <v>3801.6663414605518</v>
      </c>
      <c r="W128">
        <f t="shared" si="12"/>
        <v>3.3423456377024365</v>
      </c>
      <c r="X128">
        <f t="shared" si="13"/>
        <v>11.171274361868507</v>
      </c>
    </row>
    <row r="129" spans="15:24" x14ac:dyDescent="0.3">
      <c r="O129">
        <v>127</v>
      </c>
      <c r="P129">
        <v>170</v>
      </c>
      <c r="Q129">
        <v>58</v>
      </c>
      <c r="R129">
        <f t="shared" si="7"/>
        <v>28900</v>
      </c>
      <c r="S129">
        <f t="shared" si="8"/>
        <v>3364</v>
      </c>
      <c r="T129">
        <f t="shared" si="9"/>
        <v>9860</v>
      </c>
      <c r="U129">
        <f t="shared" si="10"/>
        <v>65.727120253888032</v>
      </c>
      <c r="V129">
        <f t="shared" si="11"/>
        <v>4320.0543368690587</v>
      </c>
      <c r="W129">
        <f t="shared" si="12"/>
        <v>-7.7271202538880317</v>
      </c>
      <c r="X129">
        <f t="shared" si="13"/>
        <v>59.708387418046641</v>
      </c>
    </row>
    <row r="130" spans="15:24" x14ac:dyDescent="0.3">
      <c r="O130">
        <v>128</v>
      </c>
      <c r="P130">
        <v>168</v>
      </c>
      <c r="Q130">
        <v>58</v>
      </c>
      <c r="R130">
        <f t="shared" si="7"/>
        <v>28224</v>
      </c>
      <c r="S130">
        <f t="shared" si="8"/>
        <v>3364</v>
      </c>
      <c r="T130">
        <f t="shared" si="9"/>
        <v>9744</v>
      </c>
      <c r="U130">
        <f t="shared" si="10"/>
        <v>64.37063162335788</v>
      </c>
      <c r="V130">
        <f t="shared" si="11"/>
        <v>4143.5782155900415</v>
      </c>
      <c r="W130">
        <f t="shared" si="12"/>
        <v>-6.3706316233578804</v>
      </c>
      <c r="X130">
        <f t="shared" si="13"/>
        <v>40.584947280527459</v>
      </c>
    </row>
    <row r="131" spans="15:24" x14ac:dyDescent="0.3">
      <c r="O131">
        <v>129</v>
      </c>
      <c r="P131">
        <v>176</v>
      </c>
      <c r="Q131">
        <v>67</v>
      </c>
      <c r="R131">
        <f t="shared" si="7"/>
        <v>30976</v>
      </c>
      <c r="S131">
        <f t="shared" si="8"/>
        <v>4489</v>
      </c>
      <c r="T131">
        <f t="shared" si="9"/>
        <v>11792</v>
      </c>
      <c r="U131">
        <f t="shared" si="10"/>
        <v>69.796586145478514</v>
      </c>
      <c r="V131">
        <f t="shared" si="11"/>
        <v>4871.5634375632035</v>
      </c>
      <c r="W131">
        <f t="shared" si="12"/>
        <v>-2.7965861454785141</v>
      </c>
      <c r="X131">
        <f t="shared" si="13"/>
        <v>7.8208940690823727</v>
      </c>
    </row>
    <row r="132" spans="15:24" x14ac:dyDescent="0.3">
      <c r="O132">
        <v>130</v>
      </c>
      <c r="P132">
        <v>168</v>
      </c>
      <c r="Q132">
        <v>60</v>
      </c>
      <c r="R132">
        <f t="shared" ref="R132:R195" si="14">P132*P132</f>
        <v>28224</v>
      </c>
      <c r="S132">
        <f t="shared" ref="S132:S195" si="15">Q132*Q132</f>
        <v>3600</v>
      </c>
      <c r="T132">
        <f t="shared" ref="T132:T195" si="16">P132*Q132</f>
        <v>10080</v>
      </c>
      <c r="U132">
        <f t="shared" ref="U132:U195" si="17">$I$4*P132+$I$5</f>
        <v>64.37063162335788</v>
      </c>
      <c r="V132">
        <f t="shared" ref="V132:V195" si="18">U132*U132</f>
        <v>4143.5782155900415</v>
      </c>
      <c r="W132">
        <f t="shared" ref="W132:W195" si="19">Q132-U132</f>
        <v>-4.3706316233578804</v>
      </c>
      <c r="X132">
        <f t="shared" ref="X132:X195" si="20">W132*W132</f>
        <v>19.102420787095941</v>
      </c>
    </row>
    <row r="133" spans="15:24" x14ac:dyDescent="0.3">
      <c r="O133">
        <v>131</v>
      </c>
      <c r="P133">
        <v>179</v>
      </c>
      <c r="Q133">
        <v>71</v>
      </c>
      <c r="R133">
        <f t="shared" si="14"/>
        <v>32041</v>
      </c>
      <c r="S133">
        <f t="shared" si="15"/>
        <v>5041</v>
      </c>
      <c r="T133">
        <f t="shared" si="16"/>
        <v>12709</v>
      </c>
      <c r="U133">
        <f t="shared" si="17"/>
        <v>71.831319091273755</v>
      </c>
      <c r="V133">
        <f t="shared" si="18"/>
        <v>5159.7384023923896</v>
      </c>
      <c r="W133">
        <f t="shared" si="19"/>
        <v>-0.83131909127375536</v>
      </c>
      <c r="X133">
        <f t="shared" si="20"/>
        <v>0.69109143151622243</v>
      </c>
    </row>
    <row r="134" spans="15:24" x14ac:dyDescent="0.3">
      <c r="O134">
        <v>132</v>
      </c>
      <c r="P134">
        <v>168</v>
      </c>
      <c r="Q134">
        <v>67</v>
      </c>
      <c r="R134">
        <f t="shared" si="14"/>
        <v>28224</v>
      </c>
      <c r="S134">
        <f t="shared" si="15"/>
        <v>4489</v>
      </c>
      <c r="T134">
        <f t="shared" si="16"/>
        <v>11256</v>
      </c>
      <c r="U134">
        <f t="shared" si="17"/>
        <v>64.37063162335788</v>
      </c>
      <c r="V134">
        <f t="shared" si="18"/>
        <v>4143.5782155900415</v>
      </c>
      <c r="W134">
        <f t="shared" si="19"/>
        <v>2.6293683766421196</v>
      </c>
      <c r="X134">
        <f t="shared" si="20"/>
        <v>6.9135780600856158</v>
      </c>
    </row>
    <row r="135" spans="15:24" x14ac:dyDescent="0.3">
      <c r="O135">
        <v>133</v>
      </c>
      <c r="P135">
        <v>176</v>
      </c>
      <c r="Q135">
        <v>65</v>
      </c>
      <c r="R135">
        <f t="shared" si="14"/>
        <v>30976</v>
      </c>
      <c r="S135">
        <f t="shared" si="15"/>
        <v>4225</v>
      </c>
      <c r="T135">
        <f t="shared" si="16"/>
        <v>11440</v>
      </c>
      <c r="U135">
        <f t="shared" si="17"/>
        <v>69.796586145478514</v>
      </c>
      <c r="V135">
        <f t="shared" si="18"/>
        <v>4871.5634375632035</v>
      </c>
      <c r="W135">
        <f t="shared" si="19"/>
        <v>-4.7965861454785141</v>
      </c>
      <c r="X135">
        <f t="shared" si="20"/>
        <v>23.007238650996431</v>
      </c>
    </row>
    <row r="136" spans="15:24" x14ac:dyDescent="0.3">
      <c r="O136">
        <v>134</v>
      </c>
      <c r="P136">
        <v>184</v>
      </c>
      <c r="Q136">
        <v>68</v>
      </c>
      <c r="R136">
        <f t="shared" si="14"/>
        <v>33856</v>
      </c>
      <c r="S136">
        <f t="shared" si="15"/>
        <v>4624</v>
      </c>
      <c r="T136">
        <f t="shared" si="16"/>
        <v>12512</v>
      </c>
      <c r="U136">
        <f t="shared" si="17"/>
        <v>75.222540667599162</v>
      </c>
      <c r="V136">
        <f t="shared" si="18"/>
        <v>5658.4306244886102</v>
      </c>
      <c r="W136">
        <f t="shared" si="19"/>
        <v>-7.2225406675991621</v>
      </c>
      <c r="X136">
        <f t="shared" si="20"/>
        <v>52.165093695123751</v>
      </c>
    </row>
    <row r="137" spans="15:24" x14ac:dyDescent="0.3">
      <c r="O137">
        <v>135</v>
      </c>
      <c r="P137">
        <v>165</v>
      </c>
      <c r="Q137">
        <v>60</v>
      </c>
      <c r="R137">
        <f t="shared" si="14"/>
        <v>27225</v>
      </c>
      <c r="S137">
        <f t="shared" si="15"/>
        <v>3600</v>
      </c>
      <c r="T137">
        <f t="shared" si="16"/>
        <v>9900</v>
      </c>
      <c r="U137">
        <f t="shared" si="17"/>
        <v>62.335898677562639</v>
      </c>
      <c r="V137">
        <f t="shared" si="18"/>
        <v>3885.7642639393557</v>
      </c>
      <c r="W137">
        <f t="shared" si="19"/>
        <v>-2.3358986775626391</v>
      </c>
      <c r="X137">
        <f t="shared" si="20"/>
        <v>5.456422631838886</v>
      </c>
    </row>
    <row r="138" spans="15:24" x14ac:dyDescent="0.3">
      <c r="O138">
        <v>136</v>
      </c>
      <c r="P138">
        <v>176</v>
      </c>
      <c r="Q138">
        <v>72</v>
      </c>
      <c r="R138">
        <f t="shared" si="14"/>
        <v>30976</v>
      </c>
      <c r="S138">
        <f t="shared" si="15"/>
        <v>5184</v>
      </c>
      <c r="T138">
        <f t="shared" si="16"/>
        <v>12672</v>
      </c>
      <c r="U138">
        <f t="shared" si="17"/>
        <v>69.796586145478514</v>
      </c>
      <c r="V138">
        <f t="shared" si="18"/>
        <v>4871.5634375632035</v>
      </c>
      <c r="W138">
        <f t="shared" si="19"/>
        <v>2.2034138545214859</v>
      </c>
      <c r="X138">
        <f t="shared" si="20"/>
        <v>4.8550326142972313</v>
      </c>
    </row>
    <row r="139" spans="15:24" x14ac:dyDescent="0.3">
      <c r="O139">
        <v>137</v>
      </c>
      <c r="P139">
        <v>163</v>
      </c>
      <c r="Q139">
        <v>65</v>
      </c>
      <c r="R139">
        <f t="shared" si="14"/>
        <v>26569</v>
      </c>
      <c r="S139">
        <f t="shared" si="15"/>
        <v>4225</v>
      </c>
      <c r="T139">
        <f t="shared" si="16"/>
        <v>10595</v>
      </c>
      <c r="U139">
        <f t="shared" si="17"/>
        <v>60.979410047032474</v>
      </c>
      <c r="V139">
        <f t="shared" si="18"/>
        <v>3718.488449684125</v>
      </c>
      <c r="W139">
        <f t="shared" si="19"/>
        <v>4.0205899529675264</v>
      </c>
      <c r="X139">
        <f t="shared" si="20"/>
        <v>16.165143569903417</v>
      </c>
    </row>
    <row r="140" spans="15:24" x14ac:dyDescent="0.3">
      <c r="O140">
        <v>138</v>
      </c>
      <c r="P140">
        <v>167</v>
      </c>
      <c r="Q140">
        <v>60</v>
      </c>
      <c r="R140">
        <f t="shared" si="14"/>
        <v>27889</v>
      </c>
      <c r="S140">
        <f t="shared" si="15"/>
        <v>3600</v>
      </c>
      <c r="T140">
        <f t="shared" si="16"/>
        <v>10020</v>
      </c>
      <c r="U140">
        <f t="shared" si="17"/>
        <v>63.692387308092805</v>
      </c>
      <c r="V140">
        <f t="shared" si="18"/>
        <v>4056.7202010041015</v>
      </c>
      <c r="W140">
        <f t="shared" si="19"/>
        <v>-3.6923873080928047</v>
      </c>
      <c r="X140">
        <f t="shared" si="20"/>
        <v>13.633724032964828</v>
      </c>
    </row>
    <row r="141" spans="15:24" x14ac:dyDescent="0.3">
      <c r="O141">
        <v>139</v>
      </c>
      <c r="P141">
        <v>160</v>
      </c>
      <c r="Q141">
        <v>57</v>
      </c>
      <c r="R141">
        <f t="shared" si="14"/>
        <v>25600</v>
      </c>
      <c r="S141">
        <f t="shared" si="15"/>
        <v>3249</v>
      </c>
      <c r="T141">
        <f t="shared" si="16"/>
        <v>9120</v>
      </c>
      <c r="U141">
        <f t="shared" si="17"/>
        <v>58.944677101237247</v>
      </c>
      <c r="V141">
        <f t="shared" si="18"/>
        <v>3474.4749585691225</v>
      </c>
      <c r="W141">
        <f t="shared" si="19"/>
        <v>-1.9446771012372466</v>
      </c>
      <c r="X141">
        <f t="shared" si="20"/>
        <v>3.7817690280764999</v>
      </c>
    </row>
    <row r="142" spans="15:24" x14ac:dyDescent="0.3">
      <c r="O142">
        <v>140</v>
      </c>
      <c r="P142">
        <v>186</v>
      </c>
      <c r="Q142">
        <v>72</v>
      </c>
      <c r="R142">
        <f t="shared" si="14"/>
        <v>34596</v>
      </c>
      <c r="S142">
        <f t="shared" si="15"/>
        <v>5184</v>
      </c>
      <c r="T142">
        <f t="shared" si="16"/>
        <v>13392</v>
      </c>
      <c r="U142">
        <f t="shared" si="17"/>
        <v>76.579029298129313</v>
      </c>
      <c r="V142">
        <f t="shared" si="18"/>
        <v>5864.347728243748</v>
      </c>
      <c r="W142">
        <f t="shared" si="19"/>
        <v>-4.5790292981293135</v>
      </c>
      <c r="X142">
        <f t="shared" si="20"/>
        <v>20.967509313126634</v>
      </c>
    </row>
    <row r="143" spans="15:24" x14ac:dyDescent="0.3">
      <c r="O143">
        <v>141</v>
      </c>
      <c r="P143">
        <v>172</v>
      </c>
      <c r="Q143">
        <v>67</v>
      </c>
      <c r="R143">
        <f t="shared" si="14"/>
        <v>29584</v>
      </c>
      <c r="S143">
        <f t="shared" si="15"/>
        <v>4489</v>
      </c>
      <c r="T143">
        <f t="shared" si="16"/>
        <v>11524</v>
      </c>
      <c r="U143">
        <f t="shared" si="17"/>
        <v>67.083608884418197</v>
      </c>
      <c r="V143">
        <f t="shared" si="18"/>
        <v>4500.2105809575924</v>
      </c>
      <c r="W143">
        <f t="shared" si="19"/>
        <v>-8.3608884418197249E-2</v>
      </c>
      <c r="X143">
        <f t="shared" si="20"/>
        <v>6.9904455536554666E-3</v>
      </c>
    </row>
    <row r="144" spans="15:24" x14ac:dyDescent="0.3">
      <c r="O144">
        <v>142</v>
      </c>
      <c r="P144">
        <v>166</v>
      </c>
      <c r="Q144">
        <v>62</v>
      </c>
      <c r="R144">
        <f t="shared" si="14"/>
        <v>27556</v>
      </c>
      <c r="S144">
        <f t="shared" si="15"/>
        <v>3844</v>
      </c>
      <c r="T144">
        <f t="shared" si="16"/>
        <v>10292</v>
      </c>
      <c r="U144">
        <f t="shared" si="17"/>
        <v>63.014142992827715</v>
      </c>
      <c r="V144">
        <f t="shared" si="18"/>
        <v>3970.782217120538</v>
      </c>
      <c r="W144">
        <f t="shared" si="19"/>
        <v>-1.0141429928277148</v>
      </c>
      <c r="X144">
        <f t="shared" si="20"/>
        <v>1.0284860099015545</v>
      </c>
    </row>
    <row r="145" spans="15:24" x14ac:dyDescent="0.3">
      <c r="O145">
        <v>143</v>
      </c>
      <c r="P145">
        <v>170</v>
      </c>
      <c r="Q145">
        <v>61</v>
      </c>
      <c r="R145">
        <f t="shared" si="14"/>
        <v>28900</v>
      </c>
      <c r="S145">
        <f t="shared" si="15"/>
        <v>3721</v>
      </c>
      <c r="T145">
        <f t="shared" si="16"/>
        <v>10370</v>
      </c>
      <c r="U145">
        <f t="shared" si="17"/>
        <v>65.727120253888032</v>
      </c>
      <c r="V145">
        <f t="shared" si="18"/>
        <v>4320.0543368690587</v>
      </c>
      <c r="W145">
        <f t="shared" si="19"/>
        <v>-4.7271202538880317</v>
      </c>
      <c r="X145">
        <f t="shared" si="20"/>
        <v>22.345665894718451</v>
      </c>
    </row>
    <row r="146" spans="15:24" x14ac:dyDescent="0.3">
      <c r="O146">
        <v>144</v>
      </c>
      <c r="P146">
        <v>173</v>
      </c>
      <c r="Q146">
        <v>72</v>
      </c>
      <c r="R146">
        <f t="shared" si="14"/>
        <v>29929</v>
      </c>
      <c r="S146">
        <f t="shared" si="15"/>
        <v>5184</v>
      </c>
      <c r="T146">
        <f t="shared" si="16"/>
        <v>12456</v>
      </c>
      <c r="U146">
        <f t="shared" si="17"/>
        <v>67.761853199683273</v>
      </c>
      <c r="V146">
        <f t="shared" si="18"/>
        <v>4591.6687490554259</v>
      </c>
      <c r="W146">
        <f t="shared" si="19"/>
        <v>4.2381468003167271</v>
      </c>
      <c r="X146">
        <f t="shared" si="20"/>
        <v>17.961888301034911</v>
      </c>
    </row>
    <row r="147" spans="15:24" x14ac:dyDescent="0.3">
      <c r="O147">
        <v>145</v>
      </c>
      <c r="P147">
        <v>166</v>
      </c>
      <c r="Q147">
        <v>67</v>
      </c>
      <c r="R147">
        <f t="shared" si="14"/>
        <v>27556</v>
      </c>
      <c r="S147">
        <f t="shared" si="15"/>
        <v>4489</v>
      </c>
      <c r="T147">
        <f t="shared" si="16"/>
        <v>11122</v>
      </c>
      <c r="U147">
        <f t="shared" si="17"/>
        <v>63.014142992827715</v>
      </c>
      <c r="V147">
        <f t="shared" si="18"/>
        <v>3970.782217120538</v>
      </c>
      <c r="W147">
        <f t="shared" si="19"/>
        <v>3.9858570071722852</v>
      </c>
      <c r="X147">
        <f t="shared" si="20"/>
        <v>15.887056081624406</v>
      </c>
    </row>
    <row r="148" spans="15:24" x14ac:dyDescent="0.3">
      <c r="O148">
        <v>146</v>
      </c>
      <c r="P148">
        <v>171</v>
      </c>
      <c r="Q148">
        <v>59</v>
      </c>
      <c r="R148">
        <f t="shared" si="14"/>
        <v>29241</v>
      </c>
      <c r="S148">
        <f t="shared" si="15"/>
        <v>3481</v>
      </c>
      <c r="T148">
        <f t="shared" si="16"/>
        <v>10089</v>
      </c>
      <c r="U148">
        <f t="shared" si="17"/>
        <v>66.405364569153122</v>
      </c>
      <c r="V148">
        <f t="shared" si="18"/>
        <v>4409.6724435621363</v>
      </c>
      <c r="W148">
        <f t="shared" si="19"/>
        <v>-7.4053645691531216</v>
      </c>
      <c r="X148">
        <f t="shared" si="20"/>
        <v>54.839424402068396</v>
      </c>
    </row>
    <row r="149" spans="15:24" x14ac:dyDescent="0.3">
      <c r="O149">
        <v>147</v>
      </c>
      <c r="P149">
        <v>169</v>
      </c>
      <c r="Q149">
        <v>67</v>
      </c>
      <c r="R149">
        <f t="shared" si="14"/>
        <v>28561</v>
      </c>
      <c r="S149">
        <f t="shared" si="15"/>
        <v>4489</v>
      </c>
      <c r="T149">
        <f t="shared" si="16"/>
        <v>11323</v>
      </c>
      <c r="U149">
        <f t="shared" si="17"/>
        <v>65.048875938622956</v>
      </c>
      <c r="V149">
        <f t="shared" si="18"/>
        <v>4231.3562608783604</v>
      </c>
      <c r="W149">
        <f t="shared" si="19"/>
        <v>1.951124061377044</v>
      </c>
      <c r="X149">
        <f t="shared" si="20"/>
        <v>3.806885102884451</v>
      </c>
    </row>
    <row r="150" spans="15:24" x14ac:dyDescent="0.3">
      <c r="O150">
        <v>148</v>
      </c>
      <c r="P150">
        <v>162</v>
      </c>
      <c r="Q150">
        <v>66</v>
      </c>
      <c r="R150">
        <f t="shared" si="14"/>
        <v>26244</v>
      </c>
      <c r="S150">
        <f t="shared" si="15"/>
        <v>4356</v>
      </c>
      <c r="T150">
        <f t="shared" si="16"/>
        <v>10692</v>
      </c>
      <c r="U150">
        <f t="shared" si="17"/>
        <v>60.301165731767398</v>
      </c>
      <c r="V150">
        <f t="shared" si="18"/>
        <v>3636.2305886100789</v>
      </c>
      <c r="W150">
        <f t="shared" si="19"/>
        <v>5.6988342682326021</v>
      </c>
      <c r="X150">
        <f t="shared" si="20"/>
        <v>32.476712016782216</v>
      </c>
    </row>
    <row r="151" spans="15:24" x14ac:dyDescent="0.3">
      <c r="O151">
        <v>149</v>
      </c>
      <c r="P151">
        <v>185</v>
      </c>
      <c r="Q151">
        <v>82</v>
      </c>
      <c r="R151">
        <f t="shared" si="14"/>
        <v>34225</v>
      </c>
      <c r="S151">
        <f t="shared" si="15"/>
        <v>6724</v>
      </c>
      <c r="T151">
        <f t="shared" si="16"/>
        <v>15170</v>
      </c>
      <c r="U151">
        <f t="shared" si="17"/>
        <v>75.900784982864238</v>
      </c>
      <c r="V151">
        <f t="shared" si="18"/>
        <v>5760.9291610149894</v>
      </c>
      <c r="W151">
        <f t="shared" si="19"/>
        <v>6.0992150171357622</v>
      </c>
      <c r="X151">
        <f t="shared" si="20"/>
        <v>37.200423825254397</v>
      </c>
    </row>
    <row r="152" spans="15:24" x14ac:dyDescent="0.3">
      <c r="O152">
        <v>150</v>
      </c>
      <c r="P152">
        <v>178</v>
      </c>
      <c r="Q152">
        <v>71</v>
      </c>
      <c r="R152">
        <f t="shared" si="14"/>
        <v>31684</v>
      </c>
      <c r="S152">
        <f t="shared" si="15"/>
        <v>5041</v>
      </c>
      <c r="T152">
        <f t="shared" si="16"/>
        <v>12638</v>
      </c>
      <c r="U152">
        <f t="shared" si="17"/>
        <v>71.15307477600868</v>
      </c>
      <c r="V152">
        <f t="shared" si="18"/>
        <v>5062.7600500802828</v>
      </c>
      <c r="W152">
        <f t="shared" si="19"/>
        <v>-0.15307477600867969</v>
      </c>
      <c r="X152">
        <f t="shared" si="20"/>
        <v>2.3431887050107458E-2</v>
      </c>
    </row>
    <row r="153" spans="15:24" x14ac:dyDescent="0.3">
      <c r="O153">
        <v>151</v>
      </c>
      <c r="P153">
        <v>165</v>
      </c>
      <c r="Q153">
        <v>60</v>
      </c>
      <c r="R153">
        <f t="shared" si="14"/>
        <v>27225</v>
      </c>
      <c r="S153">
        <f t="shared" si="15"/>
        <v>3600</v>
      </c>
      <c r="T153">
        <f t="shared" si="16"/>
        <v>9900</v>
      </c>
      <c r="U153">
        <f t="shared" si="17"/>
        <v>62.335898677562639</v>
      </c>
      <c r="V153">
        <f t="shared" si="18"/>
        <v>3885.7642639393557</v>
      </c>
      <c r="W153">
        <f t="shared" si="19"/>
        <v>-2.3358986775626391</v>
      </c>
      <c r="X153">
        <f t="shared" si="20"/>
        <v>5.456422631838886</v>
      </c>
    </row>
    <row r="154" spans="15:24" x14ac:dyDescent="0.3">
      <c r="O154">
        <v>152</v>
      </c>
      <c r="P154">
        <v>163</v>
      </c>
      <c r="Q154">
        <v>63</v>
      </c>
      <c r="R154">
        <f t="shared" si="14"/>
        <v>26569</v>
      </c>
      <c r="S154">
        <f t="shared" si="15"/>
        <v>3969</v>
      </c>
      <c r="T154">
        <f t="shared" si="16"/>
        <v>10269</v>
      </c>
      <c r="U154">
        <f t="shared" si="17"/>
        <v>60.979410047032474</v>
      </c>
      <c r="V154">
        <f t="shared" si="18"/>
        <v>3718.488449684125</v>
      </c>
      <c r="W154">
        <f t="shared" si="19"/>
        <v>2.0205899529675264</v>
      </c>
      <c r="X154">
        <f t="shared" si="20"/>
        <v>4.0827837580333108</v>
      </c>
    </row>
    <row r="155" spans="15:24" x14ac:dyDescent="0.3">
      <c r="O155">
        <v>153</v>
      </c>
      <c r="P155">
        <v>171</v>
      </c>
      <c r="Q155">
        <v>57</v>
      </c>
      <c r="R155">
        <f t="shared" si="14"/>
        <v>29241</v>
      </c>
      <c r="S155">
        <f t="shared" si="15"/>
        <v>3249</v>
      </c>
      <c r="T155">
        <f t="shared" si="16"/>
        <v>9747</v>
      </c>
      <c r="U155">
        <f t="shared" si="17"/>
        <v>66.405364569153122</v>
      </c>
      <c r="V155">
        <f t="shared" si="18"/>
        <v>4409.6724435621363</v>
      </c>
      <c r="W155">
        <f t="shared" si="19"/>
        <v>-9.4053645691531216</v>
      </c>
      <c r="X155">
        <f t="shared" si="20"/>
        <v>88.460882678680889</v>
      </c>
    </row>
    <row r="156" spans="15:24" x14ac:dyDescent="0.3">
      <c r="O156">
        <v>154</v>
      </c>
      <c r="P156">
        <v>172</v>
      </c>
      <c r="Q156">
        <v>67</v>
      </c>
      <c r="R156">
        <f t="shared" si="14"/>
        <v>29584</v>
      </c>
      <c r="S156">
        <f t="shared" si="15"/>
        <v>4489</v>
      </c>
      <c r="T156">
        <f t="shared" si="16"/>
        <v>11524</v>
      </c>
      <c r="U156">
        <f t="shared" si="17"/>
        <v>67.083608884418197</v>
      </c>
      <c r="V156">
        <f t="shared" si="18"/>
        <v>4500.2105809575924</v>
      </c>
      <c r="W156">
        <f t="shared" si="19"/>
        <v>-8.3608884418197249E-2</v>
      </c>
      <c r="X156">
        <f t="shared" si="20"/>
        <v>6.9904455536554666E-3</v>
      </c>
    </row>
    <row r="157" spans="15:24" x14ac:dyDescent="0.3">
      <c r="O157">
        <v>155</v>
      </c>
      <c r="P157">
        <v>175</v>
      </c>
      <c r="Q157">
        <v>67</v>
      </c>
      <c r="R157">
        <f t="shared" si="14"/>
        <v>30625</v>
      </c>
      <c r="S157">
        <f t="shared" si="15"/>
        <v>4489</v>
      </c>
      <c r="T157">
        <f t="shared" si="16"/>
        <v>11725</v>
      </c>
      <c r="U157">
        <f t="shared" si="17"/>
        <v>69.118341830213438</v>
      </c>
      <c r="V157">
        <f t="shared" si="18"/>
        <v>4777.3451773582328</v>
      </c>
      <c r="W157">
        <f t="shared" si="19"/>
        <v>-2.1183418302134385</v>
      </c>
      <c r="X157">
        <f t="shared" si="20"/>
        <v>4.4873721096320205</v>
      </c>
    </row>
    <row r="158" spans="15:24" x14ac:dyDescent="0.3">
      <c r="O158">
        <v>156</v>
      </c>
      <c r="P158">
        <v>172</v>
      </c>
      <c r="Q158">
        <v>70</v>
      </c>
      <c r="R158">
        <f t="shared" si="14"/>
        <v>29584</v>
      </c>
      <c r="S158">
        <f t="shared" si="15"/>
        <v>4900</v>
      </c>
      <c r="T158">
        <f t="shared" si="16"/>
        <v>12040</v>
      </c>
      <c r="U158">
        <f t="shared" si="17"/>
        <v>67.083608884418197</v>
      </c>
      <c r="V158">
        <f t="shared" si="18"/>
        <v>4500.2105809575924</v>
      </c>
      <c r="W158">
        <f t="shared" si="19"/>
        <v>2.9163911155818028</v>
      </c>
      <c r="X158">
        <f t="shared" si="20"/>
        <v>8.5053371390444727</v>
      </c>
    </row>
    <row r="159" spans="15:24" x14ac:dyDescent="0.3">
      <c r="O159">
        <v>157</v>
      </c>
      <c r="P159">
        <v>162</v>
      </c>
      <c r="Q159">
        <v>54</v>
      </c>
      <c r="R159">
        <f t="shared" si="14"/>
        <v>26244</v>
      </c>
      <c r="S159">
        <f t="shared" si="15"/>
        <v>2916</v>
      </c>
      <c r="T159">
        <f t="shared" si="16"/>
        <v>8748</v>
      </c>
      <c r="U159">
        <f t="shared" si="17"/>
        <v>60.301165731767398</v>
      </c>
      <c r="V159">
        <f t="shared" si="18"/>
        <v>3636.2305886100789</v>
      </c>
      <c r="W159">
        <f t="shared" si="19"/>
        <v>-6.3011657317673979</v>
      </c>
      <c r="X159">
        <f t="shared" si="20"/>
        <v>39.704689579199766</v>
      </c>
    </row>
    <row r="160" spans="15:24" x14ac:dyDescent="0.3">
      <c r="O160">
        <v>158</v>
      </c>
      <c r="P160">
        <v>163</v>
      </c>
      <c r="Q160">
        <v>60</v>
      </c>
      <c r="R160">
        <f t="shared" si="14"/>
        <v>26569</v>
      </c>
      <c r="S160">
        <f t="shared" si="15"/>
        <v>3600</v>
      </c>
      <c r="T160">
        <f t="shared" si="16"/>
        <v>9780</v>
      </c>
      <c r="U160">
        <f t="shared" si="17"/>
        <v>60.979410047032474</v>
      </c>
      <c r="V160">
        <f t="shared" si="18"/>
        <v>3718.488449684125</v>
      </c>
      <c r="W160">
        <f t="shared" si="19"/>
        <v>-0.97941004703247359</v>
      </c>
      <c r="X160">
        <f t="shared" si="20"/>
        <v>0.95924404022815213</v>
      </c>
    </row>
    <row r="161" spans="15:24" x14ac:dyDescent="0.3">
      <c r="O161">
        <v>159</v>
      </c>
      <c r="P161">
        <v>173</v>
      </c>
      <c r="Q161">
        <v>66</v>
      </c>
      <c r="R161">
        <f t="shared" si="14"/>
        <v>29929</v>
      </c>
      <c r="S161">
        <f t="shared" si="15"/>
        <v>4356</v>
      </c>
      <c r="T161">
        <f t="shared" si="16"/>
        <v>11418</v>
      </c>
      <c r="U161">
        <f t="shared" si="17"/>
        <v>67.761853199683273</v>
      </c>
      <c r="V161">
        <f t="shared" si="18"/>
        <v>4591.6687490554259</v>
      </c>
      <c r="W161">
        <f t="shared" si="19"/>
        <v>-1.7618531996832729</v>
      </c>
      <c r="X161">
        <f t="shared" si="20"/>
        <v>3.1041266972341868</v>
      </c>
    </row>
    <row r="162" spans="15:24" x14ac:dyDescent="0.3">
      <c r="O162">
        <v>160</v>
      </c>
      <c r="P162">
        <v>174</v>
      </c>
      <c r="Q162">
        <v>79</v>
      </c>
      <c r="R162">
        <f t="shared" si="14"/>
        <v>30276</v>
      </c>
      <c r="S162">
        <f t="shared" si="15"/>
        <v>6241</v>
      </c>
      <c r="T162">
        <f t="shared" si="16"/>
        <v>13746</v>
      </c>
      <c r="U162">
        <f t="shared" si="17"/>
        <v>68.440097514948363</v>
      </c>
      <c r="V162">
        <f t="shared" si="18"/>
        <v>4684.0469478556415</v>
      </c>
      <c r="W162">
        <f t="shared" si="19"/>
        <v>10.559902485051637</v>
      </c>
      <c r="X162">
        <f t="shared" si="20"/>
        <v>111.51154049379974</v>
      </c>
    </row>
    <row r="163" spans="15:24" x14ac:dyDescent="0.3">
      <c r="O163">
        <v>161</v>
      </c>
      <c r="P163">
        <v>164</v>
      </c>
      <c r="Q163">
        <v>61</v>
      </c>
      <c r="R163">
        <f t="shared" si="14"/>
        <v>26896</v>
      </c>
      <c r="S163">
        <f t="shared" si="15"/>
        <v>3721</v>
      </c>
      <c r="T163">
        <f t="shared" si="16"/>
        <v>10004</v>
      </c>
      <c r="U163">
        <f t="shared" si="17"/>
        <v>61.657654362297563</v>
      </c>
      <c r="V163">
        <f t="shared" si="18"/>
        <v>3801.6663414605518</v>
      </c>
      <c r="W163">
        <f t="shared" si="19"/>
        <v>-0.65765436229756347</v>
      </c>
      <c r="X163">
        <f t="shared" si="20"/>
        <v>0.43250926024901487</v>
      </c>
    </row>
    <row r="164" spans="15:24" x14ac:dyDescent="0.3">
      <c r="O164">
        <v>162</v>
      </c>
      <c r="P164">
        <v>176</v>
      </c>
      <c r="Q164">
        <v>71</v>
      </c>
      <c r="R164">
        <f t="shared" si="14"/>
        <v>30976</v>
      </c>
      <c r="S164">
        <f t="shared" si="15"/>
        <v>5041</v>
      </c>
      <c r="T164">
        <f t="shared" si="16"/>
        <v>12496</v>
      </c>
      <c r="U164">
        <f t="shared" si="17"/>
        <v>69.796586145478514</v>
      </c>
      <c r="V164">
        <f t="shared" si="18"/>
        <v>4871.5634375632035</v>
      </c>
      <c r="W164">
        <f t="shared" si="19"/>
        <v>1.2034138545214859</v>
      </c>
      <c r="X164">
        <f t="shared" si="20"/>
        <v>1.4482049052542598</v>
      </c>
    </row>
    <row r="165" spans="15:24" x14ac:dyDescent="0.3">
      <c r="O165">
        <v>163</v>
      </c>
      <c r="P165">
        <v>171</v>
      </c>
      <c r="Q165">
        <v>66</v>
      </c>
      <c r="R165">
        <f t="shared" si="14"/>
        <v>29241</v>
      </c>
      <c r="S165">
        <f t="shared" si="15"/>
        <v>4356</v>
      </c>
      <c r="T165">
        <f t="shared" si="16"/>
        <v>11286</v>
      </c>
      <c r="U165">
        <f t="shared" si="17"/>
        <v>66.405364569153122</v>
      </c>
      <c r="V165">
        <f t="shared" si="18"/>
        <v>4409.6724435621363</v>
      </c>
      <c r="W165">
        <f t="shared" si="19"/>
        <v>-0.40536456915312158</v>
      </c>
      <c r="X165">
        <f t="shared" si="20"/>
        <v>0.16432043392469589</v>
      </c>
    </row>
    <row r="166" spans="15:24" x14ac:dyDescent="0.3">
      <c r="O166">
        <v>164</v>
      </c>
      <c r="P166">
        <v>173</v>
      </c>
      <c r="Q166">
        <v>69</v>
      </c>
      <c r="R166">
        <f t="shared" si="14"/>
        <v>29929</v>
      </c>
      <c r="S166">
        <f t="shared" si="15"/>
        <v>4761</v>
      </c>
      <c r="T166">
        <f t="shared" si="16"/>
        <v>11937</v>
      </c>
      <c r="U166">
        <f t="shared" si="17"/>
        <v>67.761853199683273</v>
      </c>
      <c r="V166">
        <f t="shared" si="18"/>
        <v>4591.6687490554259</v>
      </c>
      <c r="W166">
        <f t="shared" si="19"/>
        <v>1.2381468003167271</v>
      </c>
      <c r="X166">
        <f t="shared" si="20"/>
        <v>1.5330074991345493</v>
      </c>
    </row>
    <row r="167" spans="15:24" x14ac:dyDescent="0.3">
      <c r="O167">
        <v>165</v>
      </c>
      <c r="P167">
        <v>169</v>
      </c>
      <c r="Q167">
        <v>68</v>
      </c>
      <c r="R167">
        <f t="shared" si="14"/>
        <v>28561</v>
      </c>
      <c r="S167">
        <f t="shared" si="15"/>
        <v>4624</v>
      </c>
      <c r="T167">
        <f t="shared" si="16"/>
        <v>11492</v>
      </c>
      <c r="U167">
        <f t="shared" si="17"/>
        <v>65.048875938622956</v>
      </c>
      <c r="V167">
        <f t="shared" si="18"/>
        <v>4231.3562608783604</v>
      </c>
      <c r="W167">
        <f t="shared" si="19"/>
        <v>2.951124061377044</v>
      </c>
      <c r="X167">
        <f t="shared" si="20"/>
        <v>8.7091332256385385</v>
      </c>
    </row>
    <row r="168" spans="15:24" x14ac:dyDescent="0.3">
      <c r="O168">
        <v>166</v>
      </c>
      <c r="P168">
        <v>166</v>
      </c>
      <c r="Q168">
        <v>61</v>
      </c>
      <c r="R168">
        <f t="shared" si="14"/>
        <v>27556</v>
      </c>
      <c r="S168">
        <f t="shared" si="15"/>
        <v>3721</v>
      </c>
      <c r="T168">
        <f t="shared" si="16"/>
        <v>10126</v>
      </c>
      <c r="U168">
        <f t="shared" si="17"/>
        <v>63.014142992827715</v>
      </c>
      <c r="V168">
        <f t="shared" si="18"/>
        <v>3970.782217120538</v>
      </c>
      <c r="W168">
        <f t="shared" si="19"/>
        <v>-2.0141429928277148</v>
      </c>
      <c r="X168">
        <f t="shared" si="20"/>
        <v>4.0567719955569839</v>
      </c>
    </row>
    <row r="169" spans="15:24" x14ac:dyDescent="0.3">
      <c r="O169">
        <v>167</v>
      </c>
      <c r="P169">
        <v>173</v>
      </c>
      <c r="Q169">
        <v>69</v>
      </c>
      <c r="R169">
        <f t="shared" si="14"/>
        <v>29929</v>
      </c>
      <c r="S169">
        <f t="shared" si="15"/>
        <v>4761</v>
      </c>
      <c r="T169">
        <f t="shared" si="16"/>
        <v>11937</v>
      </c>
      <c r="U169">
        <f t="shared" si="17"/>
        <v>67.761853199683273</v>
      </c>
      <c r="V169">
        <f t="shared" si="18"/>
        <v>4591.6687490554259</v>
      </c>
      <c r="W169">
        <f t="shared" si="19"/>
        <v>1.2381468003167271</v>
      </c>
      <c r="X169">
        <f t="shared" si="20"/>
        <v>1.5330074991345493</v>
      </c>
    </row>
    <row r="170" spans="15:24" x14ac:dyDescent="0.3">
      <c r="O170">
        <v>168</v>
      </c>
      <c r="P170">
        <v>172</v>
      </c>
      <c r="Q170">
        <v>74</v>
      </c>
      <c r="R170">
        <f t="shared" si="14"/>
        <v>29584</v>
      </c>
      <c r="S170">
        <f t="shared" si="15"/>
        <v>5476</v>
      </c>
      <c r="T170">
        <f t="shared" si="16"/>
        <v>12728</v>
      </c>
      <c r="U170">
        <f t="shared" si="17"/>
        <v>67.083608884418197</v>
      </c>
      <c r="V170">
        <f t="shared" si="18"/>
        <v>4500.2105809575924</v>
      </c>
      <c r="W170">
        <f t="shared" si="19"/>
        <v>6.9163911155818028</v>
      </c>
      <c r="X170">
        <f t="shared" si="20"/>
        <v>47.836466063698893</v>
      </c>
    </row>
    <row r="171" spans="15:24" x14ac:dyDescent="0.3">
      <c r="O171">
        <v>169</v>
      </c>
      <c r="P171">
        <v>173</v>
      </c>
      <c r="Q171">
        <v>69</v>
      </c>
      <c r="R171">
        <f t="shared" si="14"/>
        <v>29929</v>
      </c>
      <c r="S171">
        <f t="shared" si="15"/>
        <v>4761</v>
      </c>
      <c r="T171">
        <f t="shared" si="16"/>
        <v>11937</v>
      </c>
      <c r="U171">
        <f t="shared" si="17"/>
        <v>67.761853199683273</v>
      </c>
      <c r="V171">
        <f t="shared" si="18"/>
        <v>4591.6687490554259</v>
      </c>
      <c r="W171">
        <f t="shared" si="19"/>
        <v>1.2381468003167271</v>
      </c>
      <c r="X171">
        <f t="shared" si="20"/>
        <v>1.5330074991345493</v>
      </c>
    </row>
    <row r="172" spans="15:24" x14ac:dyDescent="0.3">
      <c r="O172">
        <v>170</v>
      </c>
      <c r="P172">
        <v>161</v>
      </c>
      <c r="Q172">
        <v>55</v>
      </c>
      <c r="R172">
        <f t="shared" si="14"/>
        <v>25921</v>
      </c>
      <c r="S172">
        <f t="shared" si="15"/>
        <v>3025</v>
      </c>
      <c r="T172">
        <f t="shared" si="16"/>
        <v>8855</v>
      </c>
      <c r="U172">
        <f t="shared" si="17"/>
        <v>59.622921416502322</v>
      </c>
      <c r="V172">
        <f t="shared" si="18"/>
        <v>3554.8927582384113</v>
      </c>
      <c r="W172">
        <f t="shared" si="19"/>
        <v>-4.6229214165023222</v>
      </c>
      <c r="X172">
        <f t="shared" si="20"/>
        <v>21.371402423155839</v>
      </c>
    </row>
    <row r="173" spans="15:24" x14ac:dyDescent="0.3">
      <c r="O173">
        <v>171</v>
      </c>
      <c r="P173">
        <v>169</v>
      </c>
      <c r="Q173">
        <v>61</v>
      </c>
      <c r="R173">
        <f t="shared" si="14"/>
        <v>28561</v>
      </c>
      <c r="S173">
        <f t="shared" si="15"/>
        <v>3721</v>
      </c>
      <c r="T173">
        <f t="shared" si="16"/>
        <v>10309</v>
      </c>
      <c r="U173">
        <f t="shared" si="17"/>
        <v>65.048875938622956</v>
      </c>
      <c r="V173">
        <f t="shared" si="18"/>
        <v>4231.3562608783604</v>
      </c>
      <c r="W173">
        <f t="shared" si="19"/>
        <v>-4.048875938622956</v>
      </c>
      <c r="X173">
        <f t="shared" si="20"/>
        <v>16.393396366359923</v>
      </c>
    </row>
    <row r="174" spans="15:24" x14ac:dyDescent="0.3">
      <c r="O174">
        <v>172</v>
      </c>
      <c r="P174">
        <v>172</v>
      </c>
      <c r="Q174">
        <v>63</v>
      </c>
      <c r="R174">
        <f t="shared" si="14"/>
        <v>29584</v>
      </c>
      <c r="S174">
        <f t="shared" si="15"/>
        <v>3969</v>
      </c>
      <c r="T174">
        <f t="shared" si="16"/>
        <v>10836</v>
      </c>
      <c r="U174">
        <f t="shared" si="17"/>
        <v>67.083608884418197</v>
      </c>
      <c r="V174">
        <f t="shared" si="18"/>
        <v>4500.2105809575924</v>
      </c>
      <c r="W174">
        <f t="shared" si="19"/>
        <v>-4.0836088844181972</v>
      </c>
      <c r="X174">
        <f t="shared" si="20"/>
        <v>16.675861520899232</v>
      </c>
    </row>
    <row r="175" spans="15:24" x14ac:dyDescent="0.3">
      <c r="O175">
        <v>173</v>
      </c>
      <c r="P175">
        <v>168</v>
      </c>
      <c r="Q175">
        <v>70</v>
      </c>
      <c r="R175">
        <f t="shared" si="14"/>
        <v>28224</v>
      </c>
      <c r="S175">
        <f t="shared" si="15"/>
        <v>4900</v>
      </c>
      <c r="T175">
        <f t="shared" si="16"/>
        <v>11760</v>
      </c>
      <c r="U175">
        <f t="shared" si="17"/>
        <v>64.37063162335788</v>
      </c>
      <c r="V175">
        <f t="shared" si="18"/>
        <v>4143.5782155900415</v>
      </c>
      <c r="W175">
        <f t="shared" si="19"/>
        <v>5.6293683766421196</v>
      </c>
      <c r="X175">
        <f t="shared" si="20"/>
        <v>31.689788319938334</v>
      </c>
    </row>
    <row r="176" spans="15:24" x14ac:dyDescent="0.3">
      <c r="O176">
        <v>174</v>
      </c>
      <c r="P176">
        <v>171</v>
      </c>
      <c r="Q176">
        <v>66</v>
      </c>
      <c r="R176">
        <f t="shared" si="14"/>
        <v>29241</v>
      </c>
      <c r="S176">
        <f t="shared" si="15"/>
        <v>4356</v>
      </c>
      <c r="T176">
        <f t="shared" si="16"/>
        <v>11286</v>
      </c>
      <c r="U176">
        <f t="shared" si="17"/>
        <v>66.405364569153122</v>
      </c>
      <c r="V176">
        <f t="shared" si="18"/>
        <v>4409.6724435621363</v>
      </c>
      <c r="W176">
        <f t="shared" si="19"/>
        <v>-0.40536456915312158</v>
      </c>
      <c r="X176">
        <f t="shared" si="20"/>
        <v>0.16432043392469589</v>
      </c>
    </row>
    <row r="177" spans="15:24" x14ac:dyDescent="0.3">
      <c r="O177">
        <v>175</v>
      </c>
      <c r="P177">
        <v>173</v>
      </c>
      <c r="Q177">
        <v>65</v>
      </c>
      <c r="R177">
        <f t="shared" si="14"/>
        <v>29929</v>
      </c>
      <c r="S177">
        <f t="shared" si="15"/>
        <v>4225</v>
      </c>
      <c r="T177">
        <f t="shared" si="16"/>
        <v>11245</v>
      </c>
      <c r="U177">
        <f t="shared" si="17"/>
        <v>67.761853199683273</v>
      </c>
      <c r="V177">
        <f t="shared" si="18"/>
        <v>4591.6687490554259</v>
      </c>
      <c r="W177">
        <f t="shared" si="19"/>
        <v>-2.7618531996832729</v>
      </c>
      <c r="X177">
        <f t="shared" si="20"/>
        <v>7.6278330966007326</v>
      </c>
    </row>
    <row r="178" spans="15:24" x14ac:dyDescent="0.3">
      <c r="O178">
        <v>176</v>
      </c>
      <c r="P178">
        <v>170</v>
      </c>
      <c r="Q178">
        <v>61</v>
      </c>
      <c r="R178">
        <f t="shared" si="14"/>
        <v>28900</v>
      </c>
      <c r="S178">
        <f t="shared" si="15"/>
        <v>3721</v>
      </c>
      <c r="T178">
        <f t="shared" si="16"/>
        <v>10370</v>
      </c>
      <c r="U178">
        <f t="shared" si="17"/>
        <v>65.727120253888032</v>
      </c>
      <c r="V178">
        <f t="shared" si="18"/>
        <v>4320.0543368690587</v>
      </c>
      <c r="W178">
        <f t="shared" si="19"/>
        <v>-4.7271202538880317</v>
      </c>
      <c r="X178">
        <f t="shared" si="20"/>
        <v>22.345665894718451</v>
      </c>
    </row>
    <row r="179" spans="15:24" x14ac:dyDescent="0.3">
      <c r="O179">
        <v>177</v>
      </c>
      <c r="P179">
        <v>163</v>
      </c>
      <c r="Q179">
        <v>65</v>
      </c>
      <c r="R179">
        <f t="shared" si="14"/>
        <v>26569</v>
      </c>
      <c r="S179">
        <f t="shared" si="15"/>
        <v>4225</v>
      </c>
      <c r="T179">
        <f t="shared" si="16"/>
        <v>10595</v>
      </c>
      <c r="U179">
        <f t="shared" si="17"/>
        <v>60.979410047032474</v>
      </c>
      <c r="V179">
        <f t="shared" si="18"/>
        <v>3718.488449684125</v>
      </c>
      <c r="W179">
        <f t="shared" si="19"/>
        <v>4.0205899529675264</v>
      </c>
      <c r="X179">
        <f t="shared" si="20"/>
        <v>16.165143569903417</v>
      </c>
    </row>
    <row r="180" spans="15:24" x14ac:dyDescent="0.3">
      <c r="O180">
        <v>178</v>
      </c>
      <c r="P180">
        <v>167</v>
      </c>
      <c r="Q180">
        <v>55</v>
      </c>
      <c r="R180">
        <f t="shared" si="14"/>
        <v>27889</v>
      </c>
      <c r="S180">
        <f t="shared" si="15"/>
        <v>3025</v>
      </c>
      <c r="T180">
        <f t="shared" si="16"/>
        <v>9185</v>
      </c>
      <c r="U180">
        <f t="shared" si="17"/>
        <v>63.692387308092805</v>
      </c>
      <c r="V180">
        <f t="shared" si="18"/>
        <v>4056.7202010041015</v>
      </c>
      <c r="W180">
        <f t="shared" si="19"/>
        <v>-8.6923873080928047</v>
      </c>
      <c r="X180">
        <f t="shared" si="20"/>
        <v>75.557597113892882</v>
      </c>
    </row>
    <row r="181" spans="15:24" x14ac:dyDescent="0.3">
      <c r="O181">
        <v>179</v>
      </c>
      <c r="P181">
        <v>171</v>
      </c>
      <c r="Q181">
        <v>70</v>
      </c>
      <c r="R181">
        <f t="shared" si="14"/>
        <v>29241</v>
      </c>
      <c r="S181">
        <f t="shared" si="15"/>
        <v>4900</v>
      </c>
      <c r="T181">
        <f t="shared" si="16"/>
        <v>11970</v>
      </c>
      <c r="U181">
        <f t="shared" si="17"/>
        <v>66.405364569153122</v>
      </c>
      <c r="V181">
        <f t="shared" si="18"/>
        <v>4409.6724435621363</v>
      </c>
      <c r="W181">
        <f t="shared" si="19"/>
        <v>3.5946354308468784</v>
      </c>
      <c r="X181">
        <f t="shared" si="20"/>
        <v>12.921403880699723</v>
      </c>
    </row>
    <row r="182" spans="15:24" x14ac:dyDescent="0.3">
      <c r="O182">
        <v>180</v>
      </c>
      <c r="P182">
        <v>169</v>
      </c>
      <c r="Q182">
        <v>70</v>
      </c>
      <c r="R182">
        <f t="shared" si="14"/>
        <v>28561</v>
      </c>
      <c r="S182">
        <f t="shared" si="15"/>
        <v>4900</v>
      </c>
      <c r="T182">
        <f t="shared" si="16"/>
        <v>11830</v>
      </c>
      <c r="U182">
        <f t="shared" si="17"/>
        <v>65.048875938622956</v>
      </c>
      <c r="V182">
        <f t="shared" si="18"/>
        <v>4231.3562608783604</v>
      </c>
      <c r="W182">
        <f t="shared" si="19"/>
        <v>4.951124061377044</v>
      </c>
      <c r="X182">
        <f t="shared" si="20"/>
        <v>24.513629471146714</v>
      </c>
    </row>
    <row r="183" spans="15:24" x14ac:dyDescent="0.3">
      <c r="O183">
        <v>181</v>
      </c>
      <c r="P183">
        <v>170</v>
      </c>
      <c r="Q183">
        <v>63</v>
      </c>
      <c r="R183">
        <f t="shared" si="14"/>
        <v>28900</v>
      </c>
      <c r="S183">
        <f t="shared" si="15"/>
        <v>3969</v>
      </c>
      <c r="T183">
        <f t="shared" si="16"/>
        <v>10710</v>
      </c>
      <c r="U183">
        <f t="shared" si="17"/>
        <v>65.727120253888032</v>
      </c>
      <c r="V183">
        <f t="shared" si="18"/>
        <v>4320.0543368690587</v>
      </c>
      <c r="W183">
        <f t="shared" si="19"/>
        <v>-2.7271202538880317</v>
      </c>
      <c r="X183">
        <f t="shared" si="20"/>
        <v>7.4371848791663222</v>
      </c>
    </row>
    <row r="184" spans="15:24" x14ac:dyDescent="0.3">
      <c r="O184">
        <v>182</v>
      </c>
      <c r="P184">
        <v>166</v>
      </c>
      <c r="Q184">
        <v>63</v>
      </c>
      <c r="R184">
        <f t="shared" si="14"/>
        <v>27556</v>
      </c>
      <c r="S184">
        <f t="shared" si="15"/>
        <v>3969</v>
      </c>
      <c r="T184">
        <f t="shared" si="16"/>
        <v>10458</v>
      </c>
      <c r="U184">
        <f t="shared" si="17"/>
        <v>63.014142992827715</v>
      </c>
      <c r="V184">
        <f t="shared" si="18"/>
        <v>3970.782217120538</v>
      </c>
      <c r="W184">
        <f t="shared" si="19"/>
        <v>-1.4142992827714806E-2</v>
      </c>
      <c r="X184">
        <f t="shared" si="20"/>
        <v>2.0002424612479246E-4</v>
      </c>
    </row>
    <row r="185" spans="15:24" x14ac:dyDescent="0.3">
      <c r="O185">
        <v>183</v>
      </c>
      <c r="P185">
        <v>172</v>
      </c>
      <c r="Q185">
        <v>65</v>
      </c>
      <c r="R185">
        <f t="shared" si="14"/>
        <v>29584</v>
      </c>
      <c r="S185">
        <f t="shared" si="15"/>
        <v>4225</v>
      </c>
      <c r="T185">
        <f t="shared" si="16"/>
        <v>11180</v>
      </c>
      <c r="U185">
        <f t="shared" si="17"/>
        <v>67.083608884418197</v>
      </c>
      <c r="V185">
        <f t="shared" si="18"/>
        <v>4500.2105809575924</v>
      </c>
      <c r="W185">
        <f t="shared" si="19"/>
        <v>-2.0836088844181972</v>
      </c>
      <c r="X185">
        <f t="shared" si="20"/>
        <v>4.3414259832264444</v>
      </c>
    </row>
    <row r="186" spans="15:24" x14ac:dyDescent="0.3">
      <c r="O186">
        <v>184</v>
      </c>
      <c r="P186">
        <v>171</v>
      </c>
      <c r="Q186">
        <v>64</v>
      </c>
      <c r="R186">
        <f t="shared" si="14"/>
        <v>29241</v>
      </c>
      <c r="S186">
        <f t="shared" si="15"/>
        <v>4096</v>
      </c>
      <c r="T186">
        <f t="shared" si="16"/>
        <v>10944</v>
      </c>
      <c r="U186">
        <f t="shared" si="17"/>
        <v>66.405364569153122</v>
      </c>
      <c r="V186">
        <f t="shared" si="18"/>
        <v>4409.6724435621363</v>
      </c>
      <c r="W186">
        <f t="shared" si="19"/>
        <v>-2.4053645691531216</v>
      </c>
      <c r="X186">
        <f t="shared" si="20"/>
        <v>5.7857787105371825</v>
      </c>
    </row>
    <row r="187" spans="15:24" x14ac:dyDescent="0.3">
      <c r="O187">
        <v>185</v>
      </c>
      <c r="P187">
        <v>166</v>
      </c>
      <c r="Q187">
        <v>78</v>
      </c>
      <c r="R187">
        <f t="shared" si="14"/>
        <v>27556</v>
      </c>
      <c r="S187">
        <f t="shared" si="15"/>
        <v>6084</v>
      </c>
      <c r="T187">
        <f t="shared" si="16"/>
        <v>12948</v>
      </c>
      <c r="U187">
        <f t="shared" si="17"/>
        <v>63.014142992827715</v>
      </c>
      <c r="V187">
        <f t="shared" si="18"/>
        <v>3970.782217120538</v>
      </c>
      <c r="W187">
        <f t="shared" si="19"/>
        <v>14.985857007172285</v>
      </c>
      <c r="X187">
        <f t="shared" si="20"/>
        <v>224.57591023941467</v>
      </c>
    </row>
    <row r="188" spans="15:24" x14ac:dyDescent="0.3">
      <c r="O188">
        <v>186</v>
      </c>
      <c r="P188">
        <v>177</v>
      </c>
      <c r="Q188">
        <v>72</v>
      </c>
      <c r="R188">
        <f t="shared" si="14"/>
        <v>31329</v>
      </c>
      <c r="S188">
        <f t="shared" si="15"/>
        <v>5184</v>
      </c>
      <c r="T188">
        <f t="shared" si="16"/>
        <v>12744</v>
      </c>
      <c r="U188">
        <f t="shared" si="17"/>
        <v>70.474830460743604</v>
      </c>
      <c r="V188">
        <f t="shared" si="18"/>
        <v>4966.7017284705544</v>
      </c>
      <c r="W188">
        <f t="shared" si="19"/>
        <v>1.525169539256396</v>
      </c>
      <c r="X188">
        <f t="shared" si="20"/>
        <v>2.326142123475567</v>
      </c>
    </row>
    <row r="189" spans="15:24" x14ac:dyDescent="0.3">
      <c r="O189">
        <v>187</v>
      </c>
      <c r="P189">
        <v>171</v>
      </c>
      <c r="Q189">
        <v>66</v>
      </c>
      <c r="R189">
        <f t="shared" si="14"/>
        <v>29241</v>
      </c>
      <c r="S189">
        <f t="shared" si="15"/>
        <v>4356</v>
      </c>
      <c r="T189">
        <f t="shared" si="16"/>
        <v>11286</v>
      </c>
      <c r="U189">
        <f t="shared" si="17"/>
        <v>66.405364569153122</v>
      </c>
      <c r="V189">
        <f t="shared" si="18"/>
        <v>4409.6724435621363</v>
      </c>
      <c r="W189">
        <f t="shared" si="19"/>
        <v>-0.40536456915312158</v>
      </c>
      <c r="X189">
        <f t="shared" si="20"/>
        <v>0.16432043392469589</v>
      </c>
    </row>
    <row r="190" spans="15:24" x14ac:dyDescent="0.3">
      <c r="O190">
        <v>188</v>
      </c>
      <c r="P190">
        <v>164</v>
      </c>
      <c r="Q190">
        <v>62</v>
      </c>
      <c r="R190">
        <f t="shared" si="14"/>
        <v>26896</v>
      </c>
      <c r="S190">
        <f t="shared" si="15"/>
        <v>3844</v>
      </c>
      <c r="T190">
        <f t="shared" si="16"/>
        <v>10168</v>
      </c>
      <c r="U190">
        <f t="shared" si="17"/>
        <v>61.657654362297563</v>
      </c>
      <c r="V190">
        <f t="shared" si="18"/>
        <v>3801.6663414605518</v>
      </c>
      <c r="W190">
        <f t="shared" si="19"/>
        <v>0.34234563770243653</v>
      </c>
      <c r="X190">
        <f t="shared" si="20"/>
        <v>0.11720053565388794</v>
      </c>
    </row>
    <row r="191" spans="15:24" x14ac:dyDescent="0.3">
      <c r="O191">
        <v>189</v>
      </c>
      <c r="P191">
        <v>169</v>
      </c>
      <c r="Q191">
        <v>66</v>
      </c>
      <c r="R191">
        <f t="shared" si="14"/>
        <v>28561</v>
      </c>
      <c r="S191">
        <f t="shared" si="15"/>
        <v>4356</v>
      </c>
      <c r="T191">
        <f t="shared" si="16"/>
        <v>11154</v>
      </c>
      <c r="U191">
        <f t="shared" si="17"/>
        <v>65.048875938622956</v>
      </c>
      <c r="V191">
        <f t="shared" si="18"/>
        <v>4231.3562608783604</v>
      </c>
      <c r="W191">
        <f t="shared" si="19"/>
        <v>0.95112406137704397</v>
      </c>
      <c r="X191">
        <f t="shared" si="20"/>
        <v>0.90463698013036287</v>
      </c>
    </row>
    <row r="192" spans="15:24" x14ac:dyDescent="0.3">
      <c r="O192">
        <v>190</v>
      </c>
      <c r="P192">
        <v>167</v>
      </c>
      <c r="Q192">
        <v>67</v>
      </c>
      <c r="R192">
        <f t="shared" si="14"/>
        <v>27889</v>
      </c>
      <c r="S192">
        <f t="shared" si="15"/>
        <v>4489</v>
      </c>
      <c r="T192">
        <f t="shared" si="16"/>
        <v>11189</v>
      </c>
      <c r="U192">
        <f t="shared" si="17"/>
        <v>63.692387308092805</v>
      </c>
      <c r="V192">
        <f t="shared" si="18"/>
        <v>4056.7202010041015</v>
      </c>
      <c r="W192">
        <f t="shared" si="19"/>
        <v>3.3076126919071953</v>
      </c>
      <c r="X192">
        <f t="shared" si="20"/>
        <v>10.940301719665563</v>
      </c>
    </row>
    <row r="193" spans="15:24" x14ac:dyDescent="0.3">
      <c r="O193">
        <v>191</v>
      </c>
      <c r="P193">
        <v>168</v>
      </c>
      <c r="Q193">
        <v>67</v>
      </c>
      <c r="R193">
        <f t="shared" si="14"/>
        <v>28224</v>
      </c>
      <c r="S193">
        <f t="shared" si="15"/>
        <v>4489</v>
      </c>
      <c r="T193">
        <f t="shared" si="16"/>
        <v>11256</v>
      </c>
      <c r="U193">
        <f t="shared" si="17"/>
        <v>64.37063162335788</v>
      </c>
      <c r="V193">
        <f t="shared" si="18"/>
        <v>4143.5782155900415</v>
      </c>
      <c r="W193">
        <f t="shared" si="19"/>
        <v>2.6293683766421196</v>
      </c>
      <c r="X193">
        <f t="shared" si="20"/>
        <v>6.9135780600856158</v>
      </c>
    </row>
    <row r="194" spans="15:24" x14ac:dyDescent="0.3">
      <c r="O194">
        <v>192</v>
      </c>
      <c r="P194">
        <v>169</v>
      </c>
      <c r="Q194">
        <v>66</v>
      </c>
      <c r="R194">
        <f t="shared" si="14"/>
        <v>28561</v>
      </c>
      <c r="S194">
        <f t="shared" si="15"/>
        <v>4356</v>
      </c>
      <c r="T194">
        <f t="shared" si="16"/>
        <v>11154</v>
      </c>
      <c r="U194">
        <f t="shared" si="17"/>
        <v>65.048875938622956</v>
      </c>
      <c r="V194">
        <f t="shared" si="18"/>
        <v>4231.3562608783604</v>
      </c>
      <c r="W194">
        <f t="shared" si="19"/>
        <v>0.95112406137704397</v>
      </c>
      <c r="X194">
        <f t="shared" si="20"/>
        <v>0.90463698013036287</v>
      </c>
    </row>
    <row r="195" spans="15:24" x14ac:dyDescent="0.3">
      <c r="O195">
        <v>193</v>
      </c>
      <c r="P195">
        <v>165</v>
      </c>
      <c r="Q195">
        <v>63</v>
      </c>
      <c r="R195">
        <f t="shared" si="14"/>
        <v>27225</v>
      </c>
      <c r="S195">
        <f t="shared" si="15"/>
        <v>3969</v>
      </c>
      <c r="T195">
        <f t="shared" si="16"/>
        <v>10395</v>
      </c>
      <c r="U195">
        <f t="shared" si="17"/>
        <v>62.335898677562639</v>
      </c>
      <c r="V195">
        <f t="shared" si="18"/>
        <v>3885.7642639393557</v>
      </c>
      <c r="W195">
        <f t="shared" si="19"/>
        <v>0.66410132243736086</v>
      </c>
      <c r="X195">
        <f t="shared" si="20"/>
        <v>0.44103056646305155</v>
      </c>
    </row>
    <row r="196" spans="15:24" x14ac:dyDescent="0.3">
      <c r="O196">
        <v>194</v>
      </c>
      <c r="P196">
        <v>174</v>
      </c>
      <c r="Q196">
        <v>74</v>
      </c>
      <c r="R196">
        <f t="shared" ref="R196:R202" si="21">P196*P196</f>
        <v>30276</v>
      </c>
      <c r="S196">
        <f t="shared" ref="S196:S202" si="22">Q196*Q196</f>
        <v>5476</v>
      </c>
      <c r="T196">
        <f t="shared" ref="T196:T202" si="23">P196*Q196</f>
        <v>12876</v>
      </c>
      <c r="U196">
        <f t="shared" ref="U196:U202" si="24">$I$4*P196+$I$5</f>
        <v>68.440097514948363</v>
      </c>
      <c r="V196">
        <f t="shared" ref="V196:V203" si="25">U196*U196</f>
        <v>4684.0469478556415</v>
      </c>
      <c r="W196">
        <f t="shared" ref="W196:W202" si="26">Q196-U196</f>
        <v>5.5599024850516372</v>
      </c>
      <c r="X196">
        <f t="shared" ref="X196:X202" si="27">W196*W196</f>
        <v>30.912515643283371</v>
      </c>
    </row>
    <row r="197" spans="15:24" x14ac:dyDescent="0.3">
      <c r="O197">
        <v>195</v>
      </c>
      <c r="P197">
        <v>171</v>
      </c>
      <c r="Q197">
        <v>69</v>
      </c>
      <c r="R197">
        <f t="shared" si="21"/>
        <v>29241</v>
      </c>
      <c r="S197">
        <f t="shared" si="22"/>
        <v>4761</v>
      </c>
      <c r="T197">
        <f t="shared" si="23"/>
        <v>11799</v>
      </c>
      <c r="U197">
        <f t="shared" si="24"/>
        <v>66.405364569153122</v>
      </c>
      <c r="V197">
        <f t="shared" si="25"/>
        <v>4409.6724435621363</v>
      </c>
      <c r="W197">
        <f t="shared" si="26"/>
        <v>2.5946354308468784</v>
      </c>
      <c r="X197">
        <f t="shared" si="27"/>
        <v>6.7321330190059667</v>
      </c>
    </row>
    <row r="198" spans="15:24" x14ac:dyDescent="0.3">
      <c r="O198">
        <v>196</v>
      </c>
      <c r="P198">
        <v>168</v>
      </c>
      <c r="Q198">
        <v>70</v>
      </c>
      <c r="R198">
        <f t="shared" si="21"/>
        <v>28224</v>
      </c>
      <c r="S198">
        <f t="shared" si="22"/>
        <v>4900</v>
      </c>
      <c r="T198">
        <f t="shared" si="23"/>
        <v>11760</v>
      </c>
      <c r="U198">
        <f t="shared" si="24"/>
        <v>64.37063162335788</v>
      </c>
      <c r="V198">
        <f t="shared" si="25"/>
        <v>4143.5782155900415</v>
      </c>
      <c r="W198">
        <f t="shared" si="26"/>
        <v>5.6293683766421196</v>
      </c>
      <c r="X198">
        <f t="shared" si="27"/>
        <v>31.689788319938334</v>
      </c>
    </row>
    <row r="199" spans="15:24" x14ac:dyDescent="0.3">
      <c r="O199">
        <v>197</v>
      </c>
      <c r="P199">
        <v>171</v>
      </c>
      <c r="Q199">
        <v>65</v>
      </c>
      <c r="R199">
        <f t="shared" si="21"/>
        <v>29241</v>
      </c>
      <c r="S199">
        <f t="shared" si="22"/>
        <v>4225</v>
      </c>
      <c r="T199">
        <f t="shared" si="23"/>
        <v>11115</v>
      </c>
      <c r="U199">
        <f t="shared" si="24"/>
        <v>66.405364569153122</v>
      </c>
      <c r="V199">
        <f t="shared" si="25"/>
        <v>4409.6724435621363</v>
      </c>
      <c r="W199">
        <f t="shared" si="26"/>
        <v>-1.4053645691531216</v>
      </c>
      <c r="X199">
        <f t="shared" si="27"/>
        <v>1.9750495722309391</v>
      </c>
    </row>
    <row r="200" spans="15:24" x14ac:dyDescent="0.3">
      <c r="O200">
        <v>198</v>
      </c>
      <c r="P200">
        <v>171</v>
      </c>
      <c r="Q200">
        <v>69</v>
      </c>
      <c r="R200">
        <f t="shared" si="21"/>
        <v>29241</v>
      </c>
      <c r="S200">
        <f t="shared" si="22"/>
        <v>4761</v>
      </c>
      <c r="T200">
        <f t="shared" si="23"/>
        <v>11799</v>
      </c>
      <c r="U200">
        <f t="shared" si="24"/>
        <v>66.405364569153122</v>
      </c>
      <c r="V200">
        <f t="shared" si="25"/>
        <v>4409.6724435621363</v>
      </c>
      <c r="W200">
        <f t="shared" si="26"/>
        <v>2.5946354308468784</v>
      </c>
      <c r="X200">
        <f t="shared" si="27"/>
        <v>6.7321330190059667</v>
      </c>
    </row>
    <row r="201" spans="15:24" x14ac:dyDescent="0.3">
      <c r="O201">
        <v>199</v>
      </c>
      <c r="P201">
        <v>172</v>
      </c>
      <c r="Q201">
        <v>69</v>
      </c>
      <c r="R201">
        <f t="shared" si="21"/>
        <v>29584</v>
      </c>
      <c r="S201">
        <f t="shared" si="22"/>
        <v>4761</v>
      </c>
      <c r="T201">
        <f t="shared" si="23"/>
        <v>11868</v>
      </c>
      <c r="U201">
        <f t="shared" si="24"/>
        <v>67.083608884418197</v>
      </c>
      <c r="V201">
        <f t="shared" si="25"/>
        <v>4500.2105809575924</v>
      </c>
      <c r="W201">
        <f t="shared" si="26"/>
        <v>1.9163911155818028</v>
      </c>
      <c r="X201">
        <f t="shared" si="27"/>
        <v>3.6725549078808664</v>
      </c>
    </row>
    <row r="202" spans="15:24" x14ac:dyDescent="0.3">
      <c r="O202">
        <v>200</v>
      </c>
      <c r="P202">
        <v>167</v>
      </c>
      <c r="Q202">
        <v>63</v>
      </c>
      <c r="R202">
        <f t="shared" si="21"/>
        <v>27889</v>
      </c>
      <c r="S202">
        <f t="shared" si="22"/>
        <v>3969</v>
      </c>
      <c r="T202">
        <f t="shared" si="23"/>
        <v>10521</v>
      </c>
      <c r="U202">
        <f t="shared" si="24"/>
        <v>63.692387308092805</v>
      </c>
      <c r="V202">
        <f t="shared" si="25"/>
        <v>4056.7202010041015</v>
      </c>
      <c r="W202">
        <f t="shared" si="26"/>
        <v>-0.69238730809280469</v>
      </c>
      <c r="X202">
        <f t="shared" si="27"/>
        <v>0.47940018440800042</v>
      </c>
    </row>
    <row r="203" spans="15:24" x14ac:dyDescent="0.3">
      <c r="O203" s="139" t="s">
        <v>157</v>
      </c>
      <c r="P203" s="139">
        <f>AVERAGE(P3:P202)</f>
        <v>169.38499999999999</v>
      </c>
      <c r="Q203" s="139">
        <f t="shared" ref="Q203:X203" si="28">AVERAGE(Q3:Q202)</f>
        <v>65.31</v>
      </c>
      <c r="R203" s="139">
        <f t="shared" si="28"/>
        <v>28727.365000000002</v>
      </c>
      <c r="S203" s="139">
        <f t="shared" si="28"/>
        <v>4303.68</v>
      </c>
      <c r="T203" s="139">
        <f t="shared" si="28"/>
        <v>11087.01</v>
      </c>
      <c r="U203" s="139">
        <f t="shared" si="28"/>
        <v>65.31</v>
      </c>
      <c r="V203" s="139">
        <f t="shared" si="28"/>
        <v>4281.9965704749229</v>
      </c>
      <c r="W203" s="139">
        <f t="shared" si="28"/>
        <v>-1.3926637620897963E-14</v>
      </c>
      <c r="X203" s="139">
        <f t="shared" si="28"/>
        <v>21.68342952508225</v>
      </c>
    </row>
  </sheetData>
  <mergeCells count="37">
    <mergeCell ref="C43:L43"/>
    <mergeCell ref="C47:L48"/>
    <mergeCell ref="C24:F25"/>
    <mergeCell ref="C36:I36"/>
    <mergeCell ref="C38:J38"/>
    <mergeCell ref="C39:J39"/>
    <mergeCell ref="K36:K37"/>
    <mergeCell ref="L36:L37"/>
    <mergeCell ref="C22:F22"/>
    <mergeCell ref="J32:M32"/>
    <mergeCell ref="J33:M33"/>
    <mergeCell ref="J30:M30"/>
    <mergeCell ref="J31:N31"/>
    <mergeCell ref="L21:N21"/>
    <mergeCell ref="L22:N22"/>
    <mergeCell ref="L27:N27"/>
    <mergeCell ref="L26:N26"/>
    <mergeCell ref="J29:M29"/>
    <mergeCell ref="J17:N18"/>
    <mergeCell ref="C15:M15"/>
    <mergeCell ref="C20:F20"/>
    <mergeCell ref="L25:N25"/>
    <mergeCell ref="L23:N23"/>
    <mergeCell ref="L24:N24"/>
    <mergeCell ref="L19:N19"/>
    <mergeCell ref="L20:N20"/>
    <mergeCell ref="F8:H8"/>
    <mergeCell ref="F9:H9"/>
    <mergeCell ref="F11:H11"/>
    <mergeCell ref="F10:H10"/>
    <mergeCell ref="F12:H12"/>
    <mergeCell ref="F13:H13"/>
    <mergeCell ref="B2:J2"/>
    <mergeCell ref="F4:H4"/>
    <mergeCell ref="F5:H5"/>
    <mergeCell ref="F6:H6"/>
    <mergeCell ref="F7:H7"/>
  </mergeCells>
  <pageMargins left="0.7" right="0.7" top="0.75" bottom="0.75" header="0.3" footer="0.3"/>
  <pageSetup orientation="portrait" r:id="rId1"/>
  <ignoredErrors>
    <ignoredError sqref="W3:W4 W5:W21 W22:W20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50</vt:i4>
      </vt:variant>
    </vt:vector>
  </HeadingPairs>
  <TitlesOfParts>
    <vt:vector size="6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a</vt:lpstr>
      <vt:lpstr>a_i_Вес</vt:lpstr>
      <vt:lpstr>a_i_Рост</vt:lpstr>
      <vt:lpstr>a_i_середины</vt:lpstr>
      <vt:lpstr>b</vt:lpstr>
      <vt:lpstr>F__c_i_Вес</vt:lpstr>
      <vt:lpstr>F__c_i_Рост</vt:lpstr>
      <vt:lpstr>v_i_n_Вес</vt:lpstr>
      <vt:lpstr>v_i_n_Рост</vt:lpstr>
      <vt:lpstr>v_i_Рост</vt:lpstr>
      <vt:lpstr>Y_x</vt:lpstr>
      <vt:lpstr>Вес</vt:lpstr>
      <vt:lpstr>Вес_ранжир</vt:lpstr>
      <vt:lpstr>внутригрупповая_дисперсия</vt:lpstr>
      <vt:lpstr>выборочный_коэфф_корреляции</vt:lpstr>
      <vt:lpstr>Дисперсия_выборки_Вес</vt:lpstr>
      <vt:lpstr>Дисперсия_выборки_Рост</vt:lpstr>
      <vt:lpstr>интервалыРост</vt:lpstr>
      <vt:lpstr>интервальныйРядРост</vt:lpstr>
      <vt:lpstr>Исправленная_дисперсия_Вес</vt:lpstr>
      <vt:lpstr>Исправленная_дисперсия_Рост</vt:lpstr>
      <vt:lpstr>Исправленное_СКО_Рост</vt:lpstr>
      <vt:lpstr>количество_интервалов</vt:lpstr>
      <vt:lpstr>межгрупповая_дисперсия</vt:lpstr>
      <vt:lpstr>Мода_Вес</vt:lpstr>
      <vt:lpstr>Мода_Рост</vt:lpstr>
      <vt:lpstr>Мощность</vt:lpstr>
      <vt:lpstr>показатель_надежности__γ</vt:lpstr>
      <vt:lpstr>Рост</vt:lpstr>
      <vt:lpstr>Рост_ранжир</vt:lpstr>
      <vt:lpstr>с_i_Вес</vt:lpstr>
      <vt:lpstr>с_i_Рост</vt:lpstr>
      <vt:lpstr>серединная_корреляционная_табл</vt:lpstr>
      <vt:lpstr>СКО_Вес</vt:lpstr>
      <vt:lpstr>СКО_Рост</vt:lpstr>
      <vt:lpstr>Среднее_выборочное_Вес</vt:lpstr>
      <vt:lpstr>Среднее_выборочное_Рост</vt:lpstr>
      <vt:lpstr>СРЗНАЧ_eps</vt:lpstr>
      <vt:lpstr>СРЗНАЧ_X</vt:lpstr>
      <vt:lpstr>СРЗНАЧ_XX</vt:lpstr>
      <vt:lpstr>СРЗНАЧ_XY</vt:lpstr>
      <vt:lpstr>СРЗНАЧ_Y</vt:lpstr>
      <vt:lpstr>СРЗНАЧ_Y_регрессия</vt:lpstr>
      <vt:lpstr>СРЗНАЧ_YY</vt:lpstr>
      <vt:lpstr>СРЗНАЧ_кв_eps</vt:lpstr>
      <vt:lpstr>СРЗНАЧ_кв_Y_регрессия</vt:lpstr>
      <vt:lpstr>степень_свободы</vt:lpstr>
      <vt:lpstr>уровень_значимости</vt:lpstr>
      <vt:lpstr>частотная_таблица_выборочные_средние</vt:lpstr>
      <vt:lpstr>частоты_корреляции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2023-02-25T10:39:35Z</dcterms:created>
  <dcterms:modified xsi:type="dcterms:W3CDTF">2023-04-19T21:35:01Z</dcterms:modified>
</cp:coreProperties>
</file>