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Info" sheetId="1" r:id="rId4"/>
    <sheet state="visible" name="Forge" sheetId="2" r:id="rId5"/>
    <sheet state="visible" name="LoadedBackpack" sheetId="3" r:id="rId6"/>
    <sheet state="hidden" name="Config" sheetId="4" r:id="rId7"/>
    <sheet state="hidden" name="GuildRanks" sheetId="5" r:id="rId8"/>
    <sheet state="hidden" name="GuildQuests" sheetId="6" r:id="rId9"/>
    <sheet state="hidden" name="Curses" sheetId="7" r:id="rId10"/>
    <sheet state="hidden" name="Diseases" sheetId="8" r:id="rId11"/>
    <sheet state="hidden" name="Townplayercombine" sheetId="9" r:id="rId12"/>
    <sheet state="hidden" name="Titles" sheetId="10" r:id="rId13"/>
    <sheet state="hidden" name="NotorietyCombined" sheetId="11" r:id="rId14"/>
  </sheets>
  <definedNames/>
  <calcPr/>
</workbook>
</file>

<file path=xl/sharedStrings.xml><?xml version="1.0" encoding="utf-8"?>
<sst xmlns="http://schemas.openxmlformats.org/spreadsheetml/2006/main" count="37" uniqueCount="31">
  <si>
    <t>CharDB:</t>
  </si>
  <si>
    <t>MobFinder:</t>
  </si>
  <si>
    <t>MainDirectory:</t>
  </si>
  <si>
    <t>PCs</t>
  </si>
  <si>
    <t>CharLink:</t>
  </si>
  <si>
    <t xml:space="preserve">Select Backpack from: </t>
  </si>
  <si>
    <t>"Priest of Power (Change Name)"</t>
  </si>
  <si>
    <t xml:space="preserve">Select item: </t>
  </si>
  <si>
    <t>Wand of Multi-Color</t>
  </si>
  <si>
    <t>Amount</t>
  </si>
  <si>
    <t>Name</t>
  </si>
  <si>
    <t>Description</t>
  </si>
  <si>
    <t>Type</t>
  </si>
  <si>
    <t>Slot</t>
  </si>
  <si>
    <t>Level Requirement</t>
  </si>
  <si>
    <t>Abilities</t>
  </si>
  <si>
    <t>Estimated Price</t>
  </si>
  <si>
    <t>Forge Amount</t>
  </si>
  <si>
    <t>Wand</t>
  </si>
  <si>
    <t>Hand</t>
  </si>
  <si>
    <t xml:space="preserve"> ++All types of spells are reduced by half sp. +-Cannot be duplicated. +-Can only have 1 equipped.</t>
  </si>
  <si>
    <t>1HXoAI5UG3zq1UHqU5n7fPdbQk93qOha2VQb1r7iRi1o</t>
  </si>
  <si>
    <t>1g_AeDkwsPncYqeTMHcCDZCjj6wqB0sW_-miBSQqz6gk</t>
  </si>
  <si>
    <t>1mNoojYCRU_5eQ4skcH3ywN5n3JMKPeua1AFji0FLWdI</t>
  </si>
  <si>
    <t>1QgDXPf_fVPQK32N3-ewUmWSk-z6KUKh-D92vz-WAs3A</t>
  </si>
  <si>
    <t>Character</t>
  </si>
  <si>
    <t>Title</t>
  </si>
  <si>
    <t>Good/Bad</t>
  </si>
  <si>
    <t>Bounty</t>
  </si>
  <si>
    <t>Town</t>
  </si>
  <si>
    <t>Person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</si>
</sst>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scheme val="minor"/>
    </font>
    <font>
      <b/>
      <color theme="1"/>
      <name val="Arial"/>
      <scheme val="minor"/>
    </font>
    <font>
      <color theme="1"/>
      <name val="Arial"/>
      <scheme val="minor"/>
    </font>
    <font>
      <b/>
      <color theme="1"/>
      <name val="Arial"/>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center" readingOrder="0"/>
    </xf>
    <xf borderId="0" fillId="0" fontId="2" numFmtId="0" xfId="0" applyFont="1"/>
    <xf borderId="0" fillId="0" fontId="2" numFmtId="164" xfId="0" applyAlignment="1" applyFont="1" applyNumberFormat="1">
      <alignment readingOrder="0"/>
    </xf>
    <xf borderId="0" fillId="0" fontId="3" numFmtId="0" xfId="0" applyAlignment="1" applyFont="1">
      <alignment horizontal="center" vertical="bottom"/>
    </xf>
    <xf borderId="0" fillId="0" fontId="4" numFmtId="0" xfId="0" applyFont="1"/>
    <xf borderId="0" fillId="0" fontId="1" numFmtId="0" xfId="0" applyAlignment="1" applyFont="1">
      <alignment horizontal="center"/>
    </xf>
    <xf borderId="0" fillId="0" fontId="2" numFmtId="164" xfId="0" applyFont="1" applyNumberFormat="1"/>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tr">
        <f>Config!B3</f>
        <v>1mNoojYCRU_5eQ4skcH3ywN5n3JMKPeua1AFji0FLWdI</v>
      </c>
      <c r="F1" s="2" t="s">
        <v>1</v>
      </c>
      <c r="G1" s="2" t="str">
        <f>Config!B1</f>
        <v>1HXoAI5UG3zq1UHqU5n7fPdbQk93qOha2VQb1r7iRi1o</v>
      </c>
      <c r="H1" s="2"/>
      <c r="K1" s="2" t="s">
        <v>2</v>
      </c>
      <c r="L1" s="2" t="str">
        <f>Config!B2</f>
        <v>1g_AeDkwsPncYqeTMHcCDZCjj6wqB0sW_-miBSQqz6gk</v>
      </c>
    </row>
    <row r="2">
      <c r="A2" s="3" t="s">
        <v>3</v>
      </c>
      <c r="K2" s="2" t="s">
        <v>4</v>
      </c>
      <c r="L2" s="4" t="str">
        <f>Config!B4</f>
        <v>1QgDXPf_fVPQK32N3-ewUmWSk-z6KUKh-D92vz-WAs3A</v>
      </c>
    </row>
    <row r="3">
      <c r="A3" s="4" t="str">
        <f>IFERROR(__xludf.DUMMYFUNCTION("IMPORTRANGE(""https://docs.google.com/spreadsheets/d/""&amp;Config!B3,""DB!A2:B"")"),"""Looter (Change Name)""")</f>
        <v>"Looter (Change Name)"</v>
      </c>
      <c r="B3" s="4" t="str">
        <f>IFERROR(__xludf.DUMMYFUNCTION("""COMPUTED_VALUE"""),"13Jd0_okPsEs_d-3y-XCZ2q19LFV_rYR1kXGcWb7B6W4")</f>
        <v>13Jd0_okPsEs_d-3y-XCZ2q19LFV_rYR1kXGcWb7B6W4</v>
      </c>
    </row>
    <row r="4">
      <c r="A4" s="4" t="str">
        <f>IFERROR(__xludf.DUMMYFUNCTION("""COMPUTED_VALUE"""),"""God of The Sea (Change Name)""")</f>
        <v>"God of The Sea (Change Name)"</v>
      </c>
      <c r="B4" s="4" t="str">
        <f>IFERROR(__xludf.DUMMYFUNCTION("""COMPUTED_VALUE"""),"1zSpm3CtGz3OJgkkS_kBG4Lddc3xFIFy29Thfx3KLBCg")</f>
        <v>1zSpm3CtGz3OJgkkS_kBG4Lddc3xFIFy29Thfx3KLBCg</v>
      </c>
    </row>
    <row r="5">
      <c r="A5" s="4" t="str">
        <f>IFERROR(__xludf.DUMMYFUNCTION("""COMPUTED_VALUE"""),"""Soul Harvester (Change Name)""")</f>
        <v>"Soul Harvester (Change Name)"</v>
      </c>
      <c r="B5" s="4" t="str">
        <f>IFERROR(__xludf.DUMMYFUNCTION("""COMPUTED_VALUE"""),"1-DQ5OkLLHFYSLNQwoMBWl7UnmrvBskONPYEleQ_Y-hc")</f>
        <v>1-DQ5OkLLHFYSLNQwoMBWl7UnmrvBskONPYEleQ_Y-hc</v>
      </c>
    </row>
    <row r="6">
      <c r="A6" s="4" t="str">
        <f>IFERROR(__xludf.DUMMYFUNCTION("""COMPUTED_VALUE"""),"""Spira Guard (Change Name)""")</f>
        <v>"Spira Guard (Change Name)"</v>
      </c>
      <c r="B6" s="4" t="str">
        <f>IFERROR(__xludf.DUMMYFUNCTION("""COMPUTED_VALUE"""),"1Ovq6YHsJwzX5YJEV_PjSbbXtHXy4pILWiaJBzjYCIeU")</f>
        <v>1Ovq6YHsJwzX5YJEV_PjSbbXtHXy4pILWiaJBzjYCIeU</v>
      </c>
    </row>
    <row r="7">
      <c r="A7" s="4" t="str">
        <f>IFERROR(__xludf.DUMMYFUNCTION("""COMPUTED_VALUE"""),"""Weapon Strategist (Change Name)""")</f>
        <v>"Weapon Strategist (Change Name)"</v>
      </c>
      <c r="B7" s="4" t="str">
        <f>IFERROR(__xludf.DUMMYFUNCTION("""COMPUTED_VALUE"""),"1_PBYPwjRJ7tv9-FdBSSR_NiZM1wz2iCE98A7ng9sJo8")</f>
        <v>1_PBYPwjRJ7tv9-FdBSSR_NiZM1wz2iCE98A7ng9sJo8</v>
      </c>
    </row>
    <row r="8">
      <c r="A8" s="4" t="str">
        <f>IFERROR(__xludf.DUMMYFUNCTION("""COMPUTED_VALUE"""),"""Master Blacksmith (Change Name)""")</f>
        <v>"Master Blacksmith (Change Name)"</v>
      </c>
      <c r="B8" s="4" t="str">
        <f>IFERROR(__xludf.DUMMYFUNCTION("""COMPUTED_VALUE"""),"15chUSMYQwCASDHAkb3x89THqIL6kIVJ8855Q__9G3a4")</f>
        <v>15chUSMYQwCASDHAkb3x89THqIL6kIVJ8855Q__9G3a4</v>
      </c>
    </row>
    <row r="9">
      <c r="A9" s="4" t="str">
        <f>IFERROR(__xludf.DUMMYFUNCTION("""COMPUTED_VALUE"""),"""Master of Magic (Change Name)""")</f>
        <v>"Master of Magic (Change Name)"</v>
      </c>
      <c r="B9" s="4" t="str">
        <f>IFERROR(__xludf.DUMMYFUNCTION("""COMPUTED_VALUE"""),"1lO-4s-90QKnW0OL1CJWlidD6baNSiSG4K4HziZXOt2w")</f>
        <v>1lO-4s-90QKnW0OL1CJWlidD6baNSiSG4K4HziZXOt2w</v>
      </c>
    </row>
    <row r="10">
      <c r="A10" s="4" t="str">
        <f>IFERROR(__xludf.DUMMYFUNCTION("""COMPUTED_VALUE"""),"""Criminal Mastermind (Change Name)""")</f>
        <v>"Criminal Mastermind (Change Name)"</v>
      </c>
      <c r="B10" s="4" t="str">
        <f>IFERROR(__xludf.DUMMYFUNCTION("""COMPUTED_VALUE"""),"1QSzZbf5Ao8oldBa0l2Ofk-jeYijK_YYw7BRh31jP-io")</f>
        <v>1QSzZbf5Ao8oldBa0l2Ofk-jeYijK_YYw7BRh31jP-io</v>
      </c>
    </row>
    <row r="11">
      <c r="A11" s="4" t="str">
        <f>IFERROR(__xludf.DUMMYFUNCTION("""COMPUTED_VALUE"""),"""Skilled Alchemist (Change Name)""")</f>
        <v>"Skilled Alchemist (Change Name)"</v>
      </c>
      <c r="B11" s="4" t="str">
        <f>IFERROR(__xludf.DUMMYFUNCTION("""COMPUTED_VALUE"""),"1eglXk-Slda606kUFmitvn1FtEIrLkl4KtanuSfMRiJM")</f>
        <v>1eglXk-Slda606kUFmitvn1FtEIrLkl4KtanuSfMRiJM</v>
      </c>
    </row>
    <row r="12">
      <c r="A12" s="4" t="str">
        <f>IFERROR(__xludf.DUMMYFUNCTION("""COMPUTED_VALUE"""),"""Surpreme Cultist (Change Name)""")</f>
        <v>"Surpreme Cultist (Change Name)"</v>
      </c>
      <c r="B12" s="4" t="str">
        <f>IFERROR(__xludf.DUMMYFUNCTION("""COMPUTED_VALUE"""),"1XOVOXVZZkucaQma1QqyzmkTPRpRVXvqHype1Dgxs2Eg")</f>
        <v>1XOVOXVZZkucaQma1QqyzmkTPRpRVXvqHype1Dgxs2Eg</v>
      </c>
    </row>
    <row r="13">
      <c r="A13" s="4" t="str">
        <f>IFERROR(__xludf.DUMMYFUNCTION("""COMPUTED_VALUE"""),"""Bare-Knuckle Brawler (Change Name)""")</f>
        <v>"Bare-Knuckle Brawler (Change Name)"</v>
      </c>
      <c r="B13" s="4" t="str">
        <f>IFERROR(__xludf.DUMMYFUNCTION("""COMPUTED_VALUE"""),"19lEJgUv5eyTFle8WaqIaoSg8ldJTaD3WJA3Fw5YmiBA")</f>
        <v>19lEJgUv5eyTFle8WaqIaoSg8ldJTaD3WJA3Fw5YmiBA</v>
      </c>
    </row>
    <row r="14">
      <c r="A14" s="4" t="str">
        <f>IFERROR(__xludf.DUMMYFUNCTION("""COMPUTED_VALUE"""),"""Archer of Swiftness (Change Name)""")</f>
        <v>"Archer of Swiftness (Change Name)"</v>
      </c>
      <c r="B14" s="4" t="str">
        <f>IFERROR(__xludf.DUMMYFUNCTION("""COMPUTED_VALUE"""),"1nuUGmnRP8hEjqFC8vQXmKC9m4Wotw8UmJ0eCzbPi7OU")</f>
        <v>1nuUGmnRP8hEjqFC8vQXmKC9m4Wotw8UmJ0eCzbPi7OU</v>
      </c>
    </row>
    <row r="15">
      <c r="A15" s="4" t="str">
        <f>IFERROR(__xludf.DUMMYFUNCTION("""COMPUTED_VALUE"""),"""Priest of Peace (Change Name)""")</f>
        <v>"Priest of Peace (Change Name)"</v>
      </c>
      <c r="B15" s="4" t="str">
        <f>IFERROR(__xludf.DUMMYFUNCTION("""COMPUTED_VALUE"""),"1Va0HhBUxeAlmyC_CXp80OYtnoEMRxf2U6Y8tcAn5F10")</f>
        <v>1Va0HhBUxeAlmyC_CXp80OYtnoEMRxf2U6Y8tcAn5F10</v>
      </c>
    </row>
    <row r="16">
      <c r="A16" s="4" t="str">
        <f>IFERROR(__xludf.DUMMYFUNCTION("""COMPUTED_VALUE"""),"""Gunsmith (Change Name)""")</f>
        <v>"Gunsmith (Change Name)"</v>
      </c>
      <c r="B16" s="4" t="str">
        <f>IFERROR(__xludf.DUMMYFUNCTION("""COMPUTED_VALUE"""),"1qlfHCp-GO1pHb0dzX97VD6zfQXo-M3JGbSMerNJqrmY")</f>
        <v>1qlfHCp-GO1pHb0dzX97VD6zfQXo-M3JGbSMerNJqrmY</v>
      </c>
    </row>
    <row r="17">
      <c r="A17" s="4" t="str">
        <f>IFERROR(__xludf.DUMMYFUNCTION("""COMPUTED_VALUE"""),"""Experienced Broker (Change Name)""")</f>
        <v>"Experienced Broker (Change Name)"</v>
      </c>
      <c r="B17" s="4" t="str">
        <f>IFERROR(__xludf.DUMMYFUNCTION("""COMPUTED_VALUE"""),"12IpegT8zRU6N8tiw4N_2-EoVm6FzSHupnW8Mxjpa-ck")</f>
        <v>12IpegT8zRU6N8tiw4N_2-EoVm6FzSHupnW8Mxjpa-ck</v>
      </c>
    </row>
    <row r="18">
      <c r="A18" s="4" t="str">
        <f>IFERROR(__xludf.DUMMYFUNCTION("""COMPUTED_VALUE"""),"""Inspiring Bard (Change Name)""")</f>
        <v>"Inspiring Bard (Change Name)"</v>
      </c>
      <c r="B18" s="4" t="str">
        <f>IFERROR(__xludf.DUMMYFUNCTION("""COMPUTED_VALUE"""),"1U3SfIyq27A1ZNfuo_OEiD3dEt0xem7dHQMSqYAnC0VE")</f>
        <v>1U3SfIyq27A1ZNfuo_OEiD3dEt0xem7dHQMSqYAnC0VE</v>
      </c>
    </row>
    <row r="19">
      <c r="A19" s="4" t="str">
        <f>IFERROR(__xludf.DUMMYFUNCTION("""COMPUTED_VALUE"""),"""Experienced Breeder (Change Name)""")</f>
        <v>"Experienced Breeder (Change Name)"</v>
      </c>
      <c r="B19" s="4" t="str">
        <f>IFERROR(__xludf.DUMMYFUNCTION("""COMPUTED_VALUE"""),"1anrJynB0Bp66M4b92D3jWHFCgPLDlo1pOOrIEfTWl8Q")</f>
        <v>1anrJynB0Bp66M4b92D3jWHFCgPLDlo1pOOrIEfTWl8Q</v>
      </c>
    </row>
    <row r="20">
      <c r="A20" s="4" t="str">
        <f>IFERROR(__xludf.DUMMYFUNCTION("""COMPUTED_VALUE"""),"""Ninja Ambusher (Change Name)""")</f>
        <v>"Ninja Ambusher (Change Name)"</v>
      </c>
      <c r="B20" s="4" t="str">
        <f>IFERROR(__xludf.DUMMYFUNCTION("""COMPUTED_VALUE"""),"1dabrIffQRDDy9nJDzaJNJ-_CwnMvDusJ6s8G1c6z2LQ")</f>
        <v>1dabrIffQRDDy9nJDzaJNJ-_CwnMvDusJ6s8G1c6z2LQ</v>
      </c>
    </row>
    <row r="21">
      <c r="A21" s="4" t="str">
        <f>IFERROR(__xludf.DUMMYFUNCTION("""COMPUTED_VALUE"""),"""Master of Poisons (Change Name)""")</f>
        <v>"Master of Poisons (Change Name)"</v>
      </c>
      <c r="B21" s="4" t="str">
        <f>IFERROR(__xludf.DUMMYFUNCTION("""COMPUTED_VALUE"""),"1iOXUp0UzYophK7iXWLNNfneqV0cKoWiTaFsN_duZ-BU")</f>
        <v>1iOXUp0UzYophK7iXWLNNfneqV0cKoWiTaFsN_duZ-BU</v>
      </c>
    </row>
    <row r="22">
      <c r="A22" s="4" t="str">
        <f>IFERROR(__xludf.DUMMYFUNCTION("""COMPUTED_VALUE"""),"""The Necromantic Lord (Change Name)""")</f>
        <v>"The Necromantic Lord (Change Name)"</v>
      </c>
      <c r="B22" s="4" t="str">
        <f>IFERROR(__xludf.DUMMYFUNCTION("""COMPUTED_VALUE"""),"1xgLjmpZUhg7PyPYKQ6Hnj2jJFezyoUy73JmgxOYi1fc")</f>
        <v>1xgLjmpZUhg7PyPYKQ6Hnj2jJFezyoUy73JmgxOYi1fc</v>
      </c>
    </row>
    <row r="23">
      <c r="A23" s="4" t="str">
        <f>IFERROR(__xludf.DUMMYFUNCTION("""COMPUTED_VALUE"""),"""Harbinger (Change Name)""")</f>
        <v>"Harbinger (Change Name)"</v>
      </c>
      <c r="B23" s="4" t="str">
        <f>IFERROR(__xludf.DUMMYFUNCTION("""COMPUTED_VALUE"""),"18zdjqBpRQ_BpCMJxWuOC8eCRH57ekIeGQymx6XGrGyc")</f>
        <v>18zdjqBpRQ_BpCMJxWuOC8eCRH57ekIeGQymx6XGrGyc</v>
      </c>
    </row>
    <row r="24">
      <c r="A24" s="4" t="str">
        <f>IFERROR(__xludf.DUMMYFUNCTION("""COMPUTED_VALUE"""),"""Guardian Paladin of Spira (Change Name)""")</f>
        <v>"Guardian Paladin of Spira (Change Name)"</v>
      </c>
      <c r="B24" s="4" t="str">
        <f>IFERROR(__xludf.DUMMYFUNCTION("""COMPUTED_VALUE"""),"1CnFGQNXpJlNuF-tcWXkersTwTiqBhiYiYFSB3ccn9go")</f>
        <v>1CnFGQNXpJlNuF-tcWXkersTwTiqBhiYiYFSB3ccn9go</v>
      </c>
    </row>
    <row r="25">
      <c r="A25" s="4" t="str">
        <f>IFERROR(__xludf.DUMMYFUNCTION("""COMPUTED_VALUE"""),"""Pedro Pascel""")</f>
        <v>"Pedro Pascel"</v>
      </c>
      <c r="B25" s="4" t="str">
        <f>IFERROR(__xludf.DUMMYFUNCTION("""COMPUTED_VALUE"""),"1R5m-uzOl0c1GxBDmV_LE3ob4xO8Y2VqfRGRar8qNqtw")</f>
        <v>1R5m-uzOl0c1GxBDmV_LE3ob4xO8Y2VqfRGRar8qNqtw</v>
      </c>
    </row>
    <row r="26">
      <c r="A26" s="4" t="str">
        <f>IFERROR(__xludf.DUMMYFUNCTION("""COMPUTED_VALUE"""),"""Corrupt Guard (Change Name)""")</f>
        <v>"Corrupt Guard (Change Name)"</v>
      </c>
      <c r="B26" s="4" t="str">
        <f>IFERROR(__xludf.DUMMYFUNCTION("""COMPUTED_VALUE"""),"1z5PwZkXpauhJj6LvL5RIvuTCOwLkkKdtLzFUPGDIjDE")</f>
        <v>1z5PwZkXpauhJj6LvL5RIvuTCOwLkkKdtLzFUPGDIjDE</v>
      </c>
    </row>
    <row r="27">
      <c r="A27" s="4" t="str">
        <f>IFERROR(__xludf.DUMMYFUNCTION("""COMPUTED_VALUE"""),"""Durlan Venlar""")</f>
        <v>"Durlan Venlar"</v>
      </c>
      <c r="B27" s="4" t="str">
        <f>IFERROR(__xludf.DUMMYFUNCTION("""COMPUTED_VALUE"""),"1d2M6d45R0jnR47EXnc0hB3WBTvT0jAoBr7bqoWnKgHY")</f>
        <v>1d2M6d45R0jnR47EXnc0hB3WBTvT0jAoBr7bqoWnKgHY</v>
      </c>
    </row>
    <row r="28">
      <c r="A28" s="4" t="str">
        <f>IFERROR(__xludf.DUMMYFUNCTION("""COMPUTED_VALUE"""),"""Revalor Thegella""")</f>
        <v>"Revalor Thegella"</v>
      </c>
      <c r="B28" s="4" t="str">
        <f>IFERROR(__xludf.DUMMYFUNCTION("""COMPUTED_VALUE"""),"1EFT_xFACLaMzrUNPhUkmAuIZUOvWeutoOX_P9yFH9TU")</f>
        <v>1EFT_xFACLaMzrUNPhUkmAuIZUOvWeutoOX_P9yFH9TU</v>
      </c>
    </row>
    <row r="29">
      <c r="A29" s="4" t="str">
        <f>IFERROR(__xludf.DUMMYFUNCTION("""COMPUTED_VALUE"""),"""Zordius""")</f>
        <v>"Zordius"</v>
      </c>
      <c r="B29" s="4" t="str">
        <f>IFERROR(__xludf.DUMMYFUNCTION("""COMPUTED_VALUE"""),"1Gq2UcrzCRKoBzVi9zKECzfgN_BhpCD03fTptLp2L-mY")</f>
        <v>1Gq2UcrzCRKoBzVi9zKECzfgN_BhpCD03fTptLp2L-mY</v>
      </c>
    </row>
    <row r="30">
      <c r="A30" s="4" t="str">
        <f>IFERROR(__xludf.DUMMYFUNCTION("""COMPUTED_VALUE"""),"""Dreadful Roger The lll""")</f>
        <v>"Dreadful Roger The lll"</v>
      </c>
      <c r="B30" s="4" t="str">
        <f>IFERROR(__xludf.DUMMYFUNCTION("""COMPUTED_VALUE"""),"1ylzOq4XMfexLhJSu9HhY7SbXswTnbGViYhGYurPNels")</f>
        <v>1ylzOq4XMfexLhJSu9HhY7SbXswTnbGViYhGYurPNels</v>
      </c>
    </row>
    <row r="31">
      <c r="A31" s="4" t="str">
        <f>IFERROR(__xludf.DUMMYFUNCTION("""COMPUTED_VALUE"""),"""Tiberius Thunderthane""")</f>
        <v>"Tiberius Thunderthane"</v>
      </c>
      <c r="B31" s="4" t="str">
        <f>IFERROR(__xludf.DUMMYFUNCTION("""COMPUTED_VALUE"""),"1jfMOB9Bw1lHp3X9fOe_7cQqYIj9GswviQIiNITUdCL8")</f>
        <v>1jfMOB9Bw1lHp3X9fOe_7cQqYIj9GswviQIiNITUdCL8</v>
      </c>
    </row>
    <row r="32">
      <c r="A32" s="4" t="str">
        <f>IFERROR(__xludf.DUMMYFUNCTION("""COMPUTED_VALUE"""),"""mittenz""")</f>
        <v>"mittenz"</v>
      </c>
      <c r="B32" s="4" t="str">
        <f>IFERROR(__xludf.DUMMYFUNCTION("""COMPUTED_VALUE"""),"10CJNtHt213lQBzOhOfGcIF_cEe9xd_EKYFFvUhCf5qY")</f>
        <v>10CJNtHt213lQBzOhOfGcIF_cEe9xd_EKYFFvUhCf5qY</v>
      </c>
    </row>
    <row r="33">
      <c r="A33" s="4" t="str">
        <f>IFERROR(__xludf.DUMMYFUNCTION("""COMPUTED_VALUE"""),"""Filia""")</f>
        <v>"Filia"</v>
      </c>
      <c r="B33" s="4" t="str">
        <f>IFERROR(__xludf.DUMMYFUNCTION("""COMPUTED_VALUE"""),"1aqLgz9ZV-cKzH2UDhtuubA7K32U0KLsviP3rgzFrnOw")</f>
        <v>1aqLgz9ZV-cKzH2UDhtuubA7K32U0KLsviP3rgzFrnOw</v>
      </c>
    </row>
    <row r="34">
      <c r="A34" s="4" t="str">
        <f>IFERROR(__xludf.DUMMYFUNCTION("""COMPUTED_VALUE"""),"""Soul Devourer (Change Name)""")</f>
        <v>"Soul Devourer (Change Name)"</v>
      </c>
      <c r="B34" s="4" t="str">
        <f>IFERROR(__xludf.DUMMYFUNCTION("""COMPUTED_VALUE"""),"1U0bVx9whQkWqAY9iTSy1L7_YWc46deaZL5IkrI5HwcM")</f>
        <v>1U0bVx9whQkWqAY9iTSy1L7_YWc46deaZL5IkrI5HwcM</v>
      </c>
    </row>
    <row r="35">
      <c r="A35" s="4" t="str">
        <f>IFERROR(__xludf.DUMMYFUNCTION("""COMPUTED_VALUE"""),"""Controller of Minds (Change Name)""")</f>
        <v>"Controller of Minds (Change Name)"</v>
      </c>
      <c r="B35" s="4" t="str">
        <f>IFERROR(__xludf.DUMMYFUNCTION("""COMPUTED_VALUE"""),"1lMtSNV_Ay69-xGjz-2nIT1D9czuNVzSGmhd4LiBxLLk")</f>
        <v>1lMtSNV_Ay69-xGjz-2nIT1D9czuNVzSGmhd4LiBxLLk</v>
      </c>
    </row>
    <row r="36">
      <c r="A36" s="4" t="str">
        <f>IFERROR(__xludf.DUMMYFUNCTION("""COMPUTED_VALUE"""),"""Priest of Power (Change Name)""")</f>
        <v>"Priest of Power (Change Name)"</v>
      </c>
      <c r="B36" s="4" t="str">
        <f>IFERROR(__xludf.DUMMYFUNCTION("""COMPUTED_VALUE"""),"1HphR7wOsq17it7z-Im1p-w65wNmtApbohhIx1rJxaPk")</f>
        <v>1HphR7wOsq17it7z-Im1p-w65wNmtApbohhIx1rJxaPk</v>
      </c>
    </row>
    <row r="37">
      <c r="A37" s="4" t="str">
        <f>IFERROR(__xludf.DUMMYFUNCTION("""COMPUTED_VALUE"""),"""Alucard""")</f>
        <v>"Alucard"</v>
      </c>
      <c r="B37" s="4" t="str">
        <f>IFERROR(__xludf.DUMMYFUNCTION("""COMPUTED_VALUE"""),"1n-S1YgKP-xTO2MCaXOTrWUukR9aOs83M0rbxCx6l5CA")</f>
        <v>1n-S1YgKP-xTO2MCaXOTrWUukR9aOs83M0rbxCx6l5CA</v>
      </c>
    </row>
    <row r="38">
      <c r="A38" s="4" t="str">
        <f>IFERROR(__xludf.DUMMYFUNCTION("""COMPUTED_VALUE"""),"""Guinevere Buchanon""")</f>
        <v>"Guinevere Buchanon"</v>
      </c>
      <c r="B38" s="4" t="str">
        <f>IFERROR(__xludf.DUMMYFUNCTION("""COMPUTED_VALUE"""),"1KyTtvgEdxHZDHaQQdOX_15fJnDEiGKbgb6pBeH6czwI")</f>
        <v>1KyTtvgEdxHZDHaQQdOX_15fJnDEiGKbgb6pBeH6czwI</v>
      </c>
    </row>
    <row r="39">
      <c r="A39" s="4" t="str">
        <f>IFERROR(__xludf.DUMMYFUNCTION("""COMPUTED_VALUE"""),"""ShadowBane""")</f>
        <v>"ShadowBane"</v>
      </c>
      <c r="B39" s="4" t="str">
        <f>IFERROR(__xludf.DUMMYFUNCTION("""COMPUTED_VALUE"""),"1RSaSJH09cWlRt8Br6bD9-KyGbiD7BabQP6MxjJ4zN88")</f>
        <v>1RSaSJH09cWlRt8Br6bD9-KyGbiD7BabQP6MxjJ4zN88</v>
      </c>
    </row>
    <row r="40">
      <c r="A40" s="4" t="str">
        <f>IFERROR(__xludf.DUMMYFUNCTION("""COMPUTED_VALUE"""),"""Zorbane""")</f>
        <v>"Zorbane"</v>
      </c>
      <c r="B40" s="4" t="str">
        <f>IFERROR(__xludf.DUMMYFUNCTION("""COMPUTED_VALUE"""),"1wLlnTbfmbNaxG-22_Ivn3HuwHRzg3VPpVCLglzjtPNU")</f>
        <v>1wLlnTbfmbNaxG-22_Ivn3HuwHRzg3VPpVCLglzjtPNU</v>
      </c>
    </row>
    <row r="41">
      <c r="A41" s="4" t="str">
        <f>IFERROR(__xludf.DUMMYFUNCTION("""COMPUTED_VALUE"""),"""Adriana""")</f>
        <v>"Adriana"</v>
      </c>
      <c r="B41" s="4" t="str">
        <f>IFERROR(__xludf.DUMMYFUNCTION("""COMPUTED_VALUE"""),"1sxM66WvoquMoc34DFMHbJJVZ4I_9Uddhqvf9aM-rST4")</f>
        <v>1sxM66WvoquMoc34DFMHbJJVZ4I_9Uddhqvf9aM-rST4</v>
      </c>
    </row>
    <row r="42">
      <c r="A42" s="4" t="str">
        <f>IFERROR(__xludf.DUMMYFUNCTION("""COMPUTED_VALUE"""),"""Elowen Starwhisper""")</f>
        <v>"Elowen Starwhisper"</v>
      </c>
      <c r="B42" s="4" t="str">
        <f>IFERROR(__xludf.DUMMYFUNCTION("""COMPUTED_VALUE"""),"12R6kAmRiFECJgp9en9C-n8rK6-BYnt_P2sDRjEHKK_Y")</f>
        <v>12R6kAmRiFECJgp9en9C-n8rK6-BYnt_P2sDRjEHKK_Y</v>
      </c>
    </row>
    <row r="43">
      <c r="A43" s="4" t="str">
        <f>IFERROR(__xludf.DUMMYFUNCTION("""COMPUTED_VALUE"""),"""Theowolfe Fjordsong""")</f>
        <v>"Theowolfe Fjordsong"</v>
      </c>
      <c r="B43" s="4" t="str">
        <f>IFERROR(__xludf.DUMMYFUNCTION("""COMPUTED_VALUE"""),"1DC5UpTAQ1lwwhUWHU1xt5a4d5CO4tanCU5kTsSEKkVY")</f>
        <v>1DC5UpTAQ1lwwhUWHU1xt5a4d5CO4tanCU5kTsSEKkVY</v>
      </c>
    </row>
    <row r="44">
      <c r="A44" s="4" t="str">
        <f>IFERROR(__xludf.DUMMYFUNCTION("""COMPUTED_VALUE"""),"""Mephistopheles""")</f>
        <v>"Mephistopheles"</v>
      </c>
      <c r="B44" s="4" t="str">
        <f>IFERROR(__xludf.DUMMYFUNCTION("""COMPUTED_VALUE"""),"1eA_lVsbY5Gh23LHGKb9VHi4gtxH4M6XkzhV5WCMlm6Q")</f>
        <v>1eA_lVsbY5Gh23LHGKb9VHi4gtxH4M6XkzhV5WCMlm6Q</v>
      </c>
    </row>
    <row r="45">
      <c r="A45" s="4" t="str">
        <f>IFERROR(__xludf.DUMMYFUNCTION("""COMPUTED_VALUE"""),"""Jinx II""")</f>
        <v>"Jinx II"</v>
      </c>
      <c r="B45" s="4" t="str">
        <f>IFERROR(__xludf.DUMMYFUNCTION("""COMPUTED_VALUE"""),"1QkIMTrXbL1AIH-sFs2wuly2FxDQYLmHFGJ0MR2t7Gw8")</f>
        <v>1QkIMTrXbL1AIH-sFs2wuly2FxDQYLmHFGJ0MR2t7Gw8</v>
      </c>
    </row>
    <row r="46">
      <c r="A46" s="4" t="str">
        <f>IFERROR(__xludf.DUMMYFUNCTION("""COMPUTED_VALUE"""),"""Mr.Click""")</f>
        <v>"Mr.Click"</v>
      </c>
      <c r="B46" s="4" t="str">
        <f>IFERROR(__xludf.DUMMYFUNCTION("""COMPUTED_VALUE"""),"1g1G26JopGj_qBWrnAYIJDI3hjvbbW7OxkCJ9WamV0rw")</f>
        <v>1g1G26JopGj_qBWrnAYIJDI3hjvbbW7OxkCJ9WamV0rw</v>
      </c>
    </row>
    <row r="47">
      <c r="A47" s="4" t="str">
        <f>IFERROR(__xludf.DUMMYFUNCTION("""COMPUTED_VALUE"""),"""Blort""")</f>
        <v>"Blort"</v>
      </c>
      <c r="B47" s="4" t="str">
        <f>IFERROR(__xludf.DUMMYFUNCTION("""COMPUTED_VALUE"""),"1EEHpljpmT0Vwu0L8LSxSVuGjReC7QD1L3qqUsJfdbm8")</f>
        <v>1EEHpljpmT0Vwu0L8LSxSVuGjReC7QD1L3qqUsJfdbm8</v>
      </c>
    </row>
    <row r="48">
      <c r="A48" s="4" t="str">
        <f>IFERROR(__xludf.DUMMYFUNCTION("""COMPUTED_VALUE"""),"""Dragonian Bard (Change Name)""")</f>
        <v>"Dragonian Bard (Change Name)"</v>
      </c>
      <c r="B48" s="4" t="str">
        <f>IFERROR(__xludf.DUMMYFUNCTION("""COMPUTED_VALUE"""),"1U-J1aWvJtjM51nmDKJD-LrGlXvvEtq_EAIl4hOIoH1c")</f>
        <v>1U-J1aWvJtjM51nmDKJD-LrGlXvvEtq_EAIl4hOIoH1c</v>
      </c>
    </row>
    <row r="49">
      <c r="A49" s="4" t="str">
        <f>IFERROR(__xludf.DUMMYFUNCTION("""COMPUTED_VALUE"""),"""Draco""")</f>
        <v>"Draco"</v>
      </c>
      <c r="B49" s="4" t="str">
        <f>IFERROR(__xludf.DUMMYFUNCTION("""COMPUTED_VALUE"""),"1eJ5NixfGQAvmGcYrXlt5b-wmqc6cqfZoiGZisxfDMvQ")</f>
        <v>1eJ5NixfGQAvmGcYrXlt5b-wmqc6cqfZoiGZisxfDMvQ</v>
      </c>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5" max="5" width="13.38"/>
    <col customWidth="1" min="9" max="9" width="13.5"/>
    <col customWidth="1" min="10" max="10" width="17.13"/>
    <col customWidth="1" min="12" max="12" width="21.0"/>
    <col customWidth="1" min="13" max="13" width="19.38"/>
  </cols>
  <sheetData>
    <row r="1">
      <c r="C1" s="3"/>
      <c r="D1" s="3"/>
      <c r="E1" s="3"/>
      <c r="F1" s="3"/>
      <c r="H1" s="1" t="s">
        <v>5</v>
      </c>
      <c r="J1" s="2" t="s">
        <v>6</v>
      </c>
    </row>
    <row r="2">
      <c r="E2" s="5"/>
      <c r="H2" s="1" t="s">
        <v>7</v>
      </c>
      <c r="J2" s="2" t="s">
        <v>8</v>
      </c>
    </row>
    <row r="3">
      <c r="E3" s="5"/>
      <c r="H3" s="6" t="s">
        <v>9</v>
      </c>
      <c r="I3" s="6" t="s">
        <v>10</v>
      </c>
      <c r="J3" s="6" t="s">
        <v>11</v>
      </c>
      <c r="K3" s="3" t="s">
        <v>12</v>
      </c>
      <c r="L3" s="6" t="s">
        <v>13</v>
      </c>
      <c r="M3" s="6" t="s">
        <v>14</v>
      </c>
      <c r="N3" s="6" t="s">
        <v>15</v>
      </c>
      <c r="O3" s="6" t="s">
        <v>16</v>
      </c>
      <c r="P3" s="6" t="s">
        <v>17</v>
      </c>
    </row>
    <row r="4">
      <c r="E4" s="5"/>
      <c r="H4" s="4">
        <f t="array" ref="H4:P4">IFNA(INDEX(LoadedBackpack!A2:I1000,MATCH(J2,LoadedBackpack!B2:B1000,0)))</f>
        <v>1</v>
      </c>
      <c r="I4" s="4" t="s">
        <v>8</v>
      </c>
      <c r="J4" s="4"/>
      <c r="K4" s="4" t="s">
        <v>18</v>
      </c>
      <c r="L4" s="4" t="s">
        <v>19</v>
      </c>
      <c r="M4" s="4">
        <v>1.0</v>
      </c>
      <c r="N4" s="4" t="s">
        <v>20</v>
      </c>
      <c r="O4" s="4">
        <v>0.0</v>
      </c>
      <c r="P4" s="4"/>
    </row>
    <row r="5">
      <c r="E5" s="5"/>
      <c r="H5" s="7" t="str">
        <f>IF(ISBLANK($J$1),"",HYPERLINK("https://docs.google.com/spreadsheets/d/"&amp;VLOOKUP($J$1,MainInfo!$A$3:$B1000,2,false),$J$1&amp;" Sheet"))</f>
        <v>"Priest of Power (Change Name)" Sheet</v>
      </c>
    </row>
    <row r="6">
      <c r="E6" s="5"/>
    </row>
    <row r="7">
      <c r="E7" s="5"/>
    </row>
    <row r="8">
      <c r="E8" s="5"/>
    </row>
    <row r="9">
      <c r="E9" s="5"/>
      <c r="I9" s="3"/>
      <c r="L9" s="3"/>
    </row>
    <row r="10">
      <c r="E10" s="5"/>
      <c r="I10" s="3"/>
      <c r="J10" s="8"/>
      <c r="L10" s="8"/>
      <c r="M10" s="8"/>
    </row>
    <row r="11">
      <c r="E11" s="5"/>
    </row>
    <row r="12">
      <c r="E12" s="5"/>
    </row>
    <row r="13">
      <c r="E13" s="9"/>
    </row>
    <row r="14">
      <c r="E14" s="9"/>
    </row>
    <row r="15">
      <c r="E15" s="9"/>
    </row>
    <row r="16">
      <c r="E16" s="9"/>
    </row>
    <row r="17">
      <c r="E17" s="9"/>
    </row>
    <row r="18">
      <c r="E18" s="9"/>
    </row>
    <row r="19">
      <c r="E19" s="9"/>
    </row>
    <row r="20">
      <c r="E20" s="9"/>
    </row>
    <row r="21">
      <c r="E21" s="9"/>
    </row>
    <row r="22">
      <c r="E22" s="9"/>
    </row>
    <row r="23">
      <c r="E23" s="9"/>
    </row>
    <row r="24">
      <c r="E24" s="9"/>
    </row>
    <row r="25">
      <c r="E25" s="9"/>
    </row>
    <row r="26">
      <c r="E26" s="9"/>
    </row>
    <row r="27">
      <c r="E27" s="9"/>
    </row>
    <row r="28">
      <c r="E28" s="9"/>
    </row>
    <row r="29">
      <c r="E29" s="9"/>
    </row>
    <row r="30">
      <c r="E30" s="9"/>
    </row>
    <row r="31">
      <c r="E31" s="9"/>
    </row>
    <row r="32">
      <c r="E32" s="9"/>
    </row>
    <row r="33">
      <c r="E33" s="9"/>
    </row>
    <row r="34">
      <c r="E34" s="9"/>
    </row>
    <row r="35">
      <c r="E35" s="9"/>
    </row>
    <row r="36">
      <c r="E36" s="9"/>
    </row>
    <row r="37">
      <c r="E37" s="9"/>
    </row>
    <row r="38">
      <c r="E38" s="9"/>
    </row>
    <row r="39">
      <c r="E39" s="9"/>
    </row>
    <row r="40">
      <c r="E40" s="9"/>
    </row>
    <row r="41">
      <c r="E41" s="9"/>
    </row>
    <row r="42">
      <c r="E42" s="9"/>
    </row>
    <row r="43">
      <c r="E43" s="9"/>
    </row>
    <row r="44">
      <c r="E44" s="9"/>
    </row>
    <row r="45">
      <c r="E45" s="9"/>
    </row>
    <row r="46">
      <c r="E46" s="9"/>
    </row>
    <row r="47">
      <c r="E47" s="9"/>
    </row>
    <row r="48">
      <c r="E48" s="9"/>
    </row>
    <row r="49">
      <c r="E49" s="9"/>
    </row>
    <row r="50">
      <c r="E50" s="9"/>
    </row>
    <row r="51">
      <c r="E51" s="9"/>
    </row>
    <row r="52">
      <c r="E52" s="9"/>
    </row>
    <row r="53">
      <c r="E53" s="9"/>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mergeCells count="3">
    <mergeCell ref="H1:I1"/>
    <mergeCell ref="H2:I2"/>
    <mergeCell ref="L9:M9"/>
  </mergeCells>
  <dataValidations>
    <dataValidation type="list" allowBlank="1" showErrorMessage="1" sqref="J1">
      <formula1>MainInfo!$A$3:$A1000</formula1>
    </dataValidation>
    <dataValidation type="list" allowBlank="1" showErrorMessage="1" sqref="J2">
      <formula1>LoadedBackpack!$B2:$B1000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4">
        <f>IFERROR(__xludf.DUMMYFUNCTION("IMPORTRANGE(""https://docs.google.com/spreadsheets/d/""&amp;VLOOKUP(Forge!J1,MainInfo!$A$3:$B1000,2,false),""Backpack!$A$10:$I$130"")"),100.0)</f>
        <v>100</v>
      </c>
      <c r="B2" s="4" t="str">
        <f>IFERROR(__xludf.DUMMYFUNCTION("""COMPUTED_VALUE"""),"Max Mana Potion")</f>
        <v>Max Mana Potion</v>
      </c>
      <c r="C2" s="4" t="str">
        <f>IFERROR(__xludf.DUMMYFUNCTION("""COMPUTED_VALUE"""),"Restores 100SP")</f>
        <v>Restores 100SP</v>
      </c>
      <c r="D2" s="4" t="str">
        <f>IFERROR(__xludf.DUMMYFUNCTION("""COMPUTED_VALUE"""),"Item")</f>
        <v>Item</v>
      </c>
      <c r="E2" s="4"/>
      <c r="F2" s="4"/>
      <c r="G2" s="4"/>
      <c r="H2" s="4"/>
      <c r="I2" s="4"/>
    </row>
    <row r="3">
      <c r="A3" s="4">
        <f>IFERROR(__xludf.DUMMYFUNCTION("""COMPUTED_VALUE"""),100.0)</f>
        <v>100</v>
      </c>
      <c r="B3" s="4" t="str">
        <f>IFERROR(__xludf.DUMMYFUNCTION("""COMPUTED_VALUE"""),"Melomel (Mead w/ fruit added)")</f>
        <v>Melomel (Mead w/ fruit added)</v>
      </c>
      <c r="C3" s="4" t="str">
        <f>IFERROR(__xludf.DUMMYFUNCTION("""COMPUTED_VALUE"""),"Restores 50 Thirst and hunger +25 energy")</f>
        <v>Restores 50 Thirst and hunger +25 energy</v>
      </c>
      <c r="D3" s="4"/>
      <c r="E3" s="4"/>
      <c r="F3" s="4"/>
      <c r="G3" s="4"/>
      <c r="H3" s="4"/>
      <c r="I3" s="4"/>
    </row>
    <row r="4">
      <c r="A4" s="4">
        <f>IFERROR(__xludf.DUMMYFUNCTION("""COMPUTED_VALUE"""),1.0)</f>
        <v>1</v>
      </c>
      <c r="B4" s="4" t="str">
        <f>IFERROR(__xludf.DUMMYFUNCTION("""COMPUTED_VALUE"""),"Blue Steel Sword")</f>
        <v>Blue Steel Sword</v>
      </c>
      <c r="C4" s="4"/>
      <c r="D4" s="4" t="str">
        <f>IFERROR(__xludf.DUMMYFUNCTION("""COMPUTED_VALUE"""),"Sword")</f>
        <v>Sword</v>
      </c>
      <c r="E4" s="4" t="str">
        <f>IFERROR(__xludf.DUMMYFUNCTION("""COMPUTED_VALUE"""),"Hand")</f>
        <v>Hand</v>
      </c>
      <c r="F4" s="4">
        <f>IFERROR(__xludf.DUMMYFUNCTION("""COMPUTED_VALUE"""),40.0)</f>
        <v>40</v>
      </c>
      <c r="G4" s="4" t="str">
        <f>IFERROR(__xludf.DUMMYFUNCTION("""COMPUTED_VALUE"""),"DMG: +1000, Water DMG: +1000")</f>
        <v>DMG: +1000, Water DMG: +1000</v>
      </c>
      <c r="H4" s="9">
        <f>IFERROR(__xludf.DUMMYFUNCTION("""COMPUTED_VALUE"""),60000.0)</f>
        <v>60000</v>
      </c>
      <c r="I4" s="4"/>
    </row>
    <row r="5">
      <c r="A5" s="4">
        <f>IFERROR(__xludf.DUMMYFUNCTION("""COMPUTED_VALUE"""),1.0)</f>
        <v>1</v>
      </c>
      <c r="B5" s="4" t="str">
        <f>IFERROR(__xludf.DUMMYFUNCTION("""COMPUTED_VALUE"""),"Wand of Grey")</f>
        <v>Wand of Grey</v>
      </c>
      <c r="C5" s="4"/>
      <c r="D5" s="4" t="str">
        <f>IFERROR(__xludf.DUMMYFUNCTION("""COMPUTED_VALUE"""),"Wand")</f>
        <v>Wand</v>
      </c>
      <c r="E5" s="4" t="str">
        <f>IFERROR(__xludf.DUMMYFUNCTION("""COMPUTED_VALUE"""),"Hand")</f>
        <v>Hand</v>
      </c>
      <c r="F5" s="4">
        <f>IFERROR(__xludf.DUMMYFUNCTION("""COMPUTED_VALUE"""),1.0)</f>
        <v>1</v>
      </c>
      <c r="G5" s="4" t="str">
        <f>IFERROR(__xludf.DUMMYFUNCTION("""COMPUTED_VALUE""")," +X2 more damage to all spells. +Cannot be duplicated.")</f>
        <v> +X2 more damage to all spells. +Cannot be duplicated.</v>
      </c>
      <c r="H5" s="9">
        <f>IFERROR(__xludf.DUMMYFUNCTION("""COMPUTED_VALUE"""),0.0)</f>
        <v>0</v>
      </c>
      <c r="I5" s="4"/>
    </row>
    <row r="6">
      <c r="A6" s="4">
        <f>IFERROR(__xludf.DUMMYFUNCTION("""COMPUTED_VALUE"""),1.0)</f>
        <v>1</v>
      </c>
      <c r="B6" s="4" t="str">
        <f>IFERROR(__xludf.DUMMYFUNCTION("""COMPUTED_VALUE"""),"Wand of Multi-Color")</f>
        <v>Wand of Multi-Color</v>
      </c>
      <c r="C6" s="4"/>
      <c r="D6" s="4" t="str">
        <f>IFERROR(__xludf.DUMMYFUNCTION("""COMPUTED_VALUE"""),"Wand")</f>
        <v>Wand</v>
      </c>
      <c r="E6" s="4" t="str">
        <f>IFERROR(__xludf.DUMMYFUNCTION("""COMPUTED_VALUE"""),"Hand")</f>
        <v>Hand</v>
      </c>
      <c r="F6" s="4">
        <f>IFERROR(__xludf.DUMMYFUNCTION("""COMPUTED_VALUE"""),1.0)</f>
        <v>1</v>
      </c>
      <c r="G6" s="4" t="str">
        <f>IFERROR(__xludf.DUMMYFUNCTION("""COMPUTED_VALUE""")," ++All types of spells are reduced by half sp. +-Cannot be duplicated. +-Can only have 1 equipped.")</f>
        <v> ++All types of spells are reduced by half sp. +-Cannot be duplicated. +-Can only have 1 equipped.</v>
      </c>
      <c r="H6" s="9">
        <f>IFERROR(__xludf.DUMMYFUNCTION("""COMPUTED_VALUE"""),0.0)</f>
        <v>0</v>
      </c>
      <c r="I6" s="4"/>
    </row>
    <row r="7">
      <c r="A7" s="4"/>
      <c r="B7" s="4"/>
      <c r="C7" s="4"/>
      <c r="D7" s="4"/>
      <c r="E7" s="4"/>
      <c r="F7" s="4"/>
      <c r="G7" s="4"/>
      <c r="H7" s="4"/>
      <c r="I7" s="4"/>
    </row>
    <row r="8">
      <c r="A8" s="4"/>
      <c r="B8" s="4"/>
      <c r="C8" s="4"/>
      <c r="D8" s="4"/>
      <c r="E8" s="4"/>
      <c r="F8" s="4"/>
      <c r="G8" s="4"/>
      <c r="H8" s="4"/>
      <c r="I8" s="4"/>
    </row>
    <row r="9">
      <c r="A9" s="4"/>
      <c r="B9" s="4"/>
      <c r="C9" s="4"/>
      <c r="D9" s="4"/>
      <c r="E9" s="4"/>
      <c r="F9" s="4"/>
      <c r="G9" s="4"/>
      <c r="H9" s="4"/>
      <c r="I9" s="4"/>
    </row>
    <row r="10">
      <c r="A10" s="4"/>
      <c r="B10" s="4"/>
      <c r="C10" s="4"/>
      <c r="D10" s="4"/>
      <c r="E10" s="4"/>
      <c r="F10" s="4"/>
      <c r="G10" s="4"/>
      <c r="H10" s="4"/>
      <c r="I10" s="4"/>
    </row>
    <row r="11">
      <c r="A11" s="4"/>
      <c r="B11" s="4"/>
      <c r="C11" s="4"/>
      <c r="D11" s="4"/>
      <c r="E11" s="4"/>
      <c r="F11" s="4"/>
      <c r="G11" s="4"/>
      <c r="H11" s="4"/>
      <c r="I11" s="4"/>
    </row>
    <row r="12">
      <c r="A12" s="4"/>
      <c r="B12" s="4"/>
      <c r="C12" s="4"/>
      <c r="D12" s="4"/>
      <c r="E12" s="4"/>
      <c r="F12" s="4"/>
      <c r="G12" s="4"/>
      <c r="H12" s="4"/>
      <c r="I12" s="4"/>
    </row>
    <row r="13">
      <c r="A13" s="4"/>
      <c r="B13" s="4"/>
      <c r="C13" s="4"/>
      <c r="D13" s="4"/>
      <c r="E13" s="4"/>
      <c r="F13" s="4"/>
      <c r="G13" s="4"/>
      <c r="H13" s="4"/>
      <c r="I13" s="4"/>
    </row>
    <row r="14">
      <c r="A14" s="4"/>
      <c r="B14" s="4"/>
      <c r="C14" s="4"/>
      <c r="D14" s="4"/>
      <c r="E14" s="4"/>
      <c r="F14" s="4"/>
      <c r="G14" s="4"/>
      <c r="H14" s="4"/>
      <c r="I14" s="4"/>
    </row>
    <row r="15">
      <c r="A15" s="4"/>
      <c r="B15" s="4"/>
      <c r="C15" s="4"/>
      <c r="D15" s="4"/>
      <c r="E15" s="4"/>
      <c r="F15" s="4"/>
      <c r="G15" s="4"/>
      <c r="H15" s="4"/>
      <c r="I15" s="4"/>
    </row>
    <row r="16">
      <c r="A16" s="4"/>
      <c r="B16" s="4"/>
      <c r="C16" s="4"/>
      <c r="D16" s="4"/>
      <c r="E16" s="4"/>
      <c r="F16" s="4"/>
      <c r="G16" s="4"/>
      <c r="H16" s="4"/>
      <c r="I16" s="4"/>
    </row>
    <row r="17">
      <c r="A17" s="4"/>
      <c r="B17" s="4"/>
      <c r="C17" s="4"/>
      <c r="D17" s="4"/>
      <c r="E17" s="4"/>
      <c r="F17" s="4"/>
      <c r="G17" s="4"/>
      <c r="H17" s="4"/>
      <c r="I17" s="4"/>
    </row>
    <row r="18">
      <c r="A18" s="4"/>
      <c r="B18" s="4"/>
      <c r="C18" s="4"/>
      <c r="D18" s="4"/>
      <c r="E18" s="4"/>
      <c r="F18" s="4"/>
      <c r="G18" s="4"/>
      <c r="H18" s="4"/>
      <c r="I18" s="4"/>
    </row>
    <row r="19">
      <c r="A19" s="4"/>
      <c r="B19" s="4"/>
      <c r="C19" s="4"/>
      <c r="D19" s="4"/>
      <c r="E19" s="4"/>
      <c r="F19" s="4"/>
      <c r="G19" s="4"/>
      <c r="H19" s="4"/>
      <c r="I19" s="4"/>
    </row>
    <row r="20">
      <c r="A20" s="4"/>
      <c r="B20" s="4"/>
      <c r="C20" s="4"/>
      <c r="D20" s="4"/>
      <c r="E20" s="4"/>
      <c r="F20" s="4"/>
      <c r="G20" s="4"/>
      <c r="H20" s="4"/>
      <c r="I20" s="4"/>
    </row>
    <row r="21">
      <c r="A21" s="4"/>
      <c r="B21" s="4"/>
      <c r="C21" s="4"/>
      <c r="D21" s="4"/>
      <c r="E21" s="4"/>
      <c r="F21" s="4"/>
      <c r="G21" s="4"/>
      <c r="H21" s="4"/>
      <c r="I21" s="4"/>
    </row>
    <row r="22">
      <c r="A22" s="4"/>
      <c r="B22" s="4"/>
      <c r="C22" s="4"/>
      <c r="D22" s="4"/>
      <c r="E22" s="4"/>
      <c r="F22" s="4"/>
      <c r="G22" s="4"/>
      <c r="H22" s="4"/>
      <c r="I22" s="4"/>
    </row>
    <row r="23">
      <c r="A23" s="4"/>
      <c r="B23" s="4"/>
      <c r="C23" s="4"/>
      <c r="D23" s="4"/>
      <c r="E23" s="4"/>
      <c r="F23" s="4"/>
      <c r="G23" s="4"/>
      <c r="H23" s="4"/>
      <c r="I23" s="4"/>
    </row>
    <row r="24">
      <c r="A24" s="4"/>
      <c r="B24" s="4"/>
      <c r="C24" s="4"/>
      <c r="D24" s="4"/>
      <c r="E24" s="4"/>
      <c r="F24" s="4"/>
      <c r="G24" s="4"/>
      <c r="H24" s="4"/>
      <c r="I24" s="4"/>
    </row>
    <row r="25">
      <c r="A25" s="4"/>
      <c r="B25" s="4"/>
      <c r="C25" s="4"/>
      <c r="D25" s="4"/>
      <c r="E25" s="4"/>
      <c r="F25" s="4"/>
      <c r="G25" s="4"/>
      <c r="H25" s="4"/>
      <c r="I25" s="4"/>
    </row>
    <row r="26">
      <c r="A26" s="4"/>
      <c r="B26" s="4"/>
      <c r="C26" s="4"/>
      <c r="D26" s="4"/>
      <c r="E26" s="4"/>
      <c r="F26" s="4"/>
      <c r="G26" s="4"/>
      <c r="H26" s="4"/>
      <c r="I26" s="4"/>
    </row>
    <row r="27">
      <c r="A27" s="4"/>
      <c r="B27" s="4"/>
      <c r="C27" s="4"/>
      <c r="D27" s="4"/>
      <c r="E27" s="4"/>
      <c r="F27" s="4"/>
      <c r="G27" s="4"/>
      <c r="H27" s="4"/>
      <c r="I27" s="4"/>
    </row>
    <row r="28">
      <c r="A28" s="4"/>
      <c r="B28" s="4"/>
      <c r="C28" s="4"/>
      <c r="D28" s="4"/>
      <c r="E28" s="4"/>
      <c r="F28" s="4"/>
      <c r="G28" s="4"/>
      <c r="H28" s="4"/>
      <c r="I28" s="4"/>
    </row>
    <row r="29">
      <c r="A29" s="4"/>
      <c r="B29" s="4"/>
      <c r="C29" s="4"/>
      <c r="D29" s="4"/>
      <c r="E29" s="4"/>
      <c r="F29" s="4"/>
      <c r="G29" s="4"/>
      <c r="H29" s="4"/>
      <c r="I29" s="4"/>
    </row>
    <row r="30">
      <c r="A30" s="4"/>
      <c r="B30" s="4"/>
      <c r="C30" s="4"/>
      <c r="D30" s="4"/>
      <c r="E30" s="4"/>
      <c r="F30" s="4"/>
      <c r="G30" s="4"/>
      <c r="H30" s="4"/>
      <c r="I30" s="4"/>
    </row>
    <row r="31">
      <c r="A31" s="4"/>
      <c r="B31" s="4"/>
      <c r="C31" s="4"/>
      <c r="D31" s="4"/>
      <c r="E31" s="4"/>
      <c r="F31" s="4"/>
      <c r="G31" s="4"/>
      <c r="H31" s="4"/>
      <c r="I31" s="4"/>
    </row>
    <row r="32">
      <c r="A32" s="4"/>
      <c r="B32" s="4"/>
      <c r="C32" s="4"/>
      <c r="D32" s="4"/>
      <c r="E32" s="4"/>
      <c r="F32" s="4"/>
      <c r="G32" s="4"/>
      <c r="H32" s="4"/>
      <c r="I32" s="4"/>
    </row>
    <row r="33">
      <c r="A33" s="4"/>
      <c r="B33" s="4"/>
      <c r="C33" s="4"/>
      <c r="D33" s="4"/>
      <c r="E33" s="4"/>
      <c r="F33" s="4"/>
      <c r="G33" s="4"/>
      <c r="H33" s="4"/>
      <c r="I33" s="4"/>
    </row>
    <row r="34">
      <c r="A34" s="4"/>
      <c r="B34" s="4"/>
      <c r="C34" s="4"/>
      <c r="D34" s="4"/>
      <c r="E34" s="4"/>
      <c r="F34" s="4"/>
      <c r="G34" s="4"/>
      <c r="H34" s="4"/>
      <c r="I34" s="4"/>
    </row>
    <row r="35">
      <c r="A35" s="4"/>
      <c r="B35" s="4"/>
      <c r="C35" s="4"/>
      <c r="D35" s="4"/>
      <c r="E35" s="4"/>
      <c r="F35" s="4"/>
      <c r="G35" s="4"/>
      <c r="H35" s="4"/>
      <c r="I35" s="4"/>
    </row>
    <row r="36">
      <c r="A36" s="4"/>
      <c r="B36" s="4"/>
      <c r="C36" s="4"/>
      <c r="D36" s="4"/>
      <c r="E36" s="4"/>
      <c r="F36" s="4"/>
      <c r="G36" s="4"/>
      <c r="H36" s="4"/>
      <c r="I36" s="4"/>
    </row>
    <row r="37">
      <c r="A37" s="4"/>
      <c r="B37" s="4"/>
      <c r="C37" s="4"/>
      <c r="D37" s="4"/>
      <c r="E37" s="4"/>
      <c r="F37" s="4"/>
      <c r="G37" s="4"/>
      <c r="H37" s="4"/>
      <c r="I37" s="4"/>
    </row>
    <row r="38">
      <c r="A38" s="4"/>
      <c r="B38" s="4"/>
      <c r="C38" s="4"/>
      <c r="D38" s="4"/>
      <c r="E38" s="4"/>
      <c r="F38" s="4"/>
      <c r="G38" s="4"/>
      <c r="H38" s="4"/>
      <c r="I38" s="4"/>
    </row>
    <row r="39">
      <c r="A39" s="4"/>
      <c r="B39" s="4"/>
      <c r="C39" s="4"/>
      <c r="D39" s="4"/>
      <c r="E39" s="4"/>
      <c r="F39" s="4"/>
      <c r="G39" s="4"/>
      <c r="H39" s="4"/>
      <c r="I39" s="4"/>
    </row>
    <row r="40">
      <c r="A40" s="4"/>
      <c r="B40" s="4"/>
      <c r="C40" s="4"/>
      <c r="D40" s="4"/>
      <c r="E40" s="4"/>
      <c r="F40" s="4"/>
      <c r="G40" s="4"/>
      <c r="H40" s="4"/>
      <c r="I40" s="4"/>
    </row>
    <row r="41">
      <c r="A41" s="4"/>
      <c r="B41" s="4"/>
      <c r="C41" s="4"/>
      <c r="D41" s="4"/>
      <c r="E41" s="4"/>
      <c r="F41" s="4"/>
      <c r="G41" s="4"/>
      <c r="H41" s="4"/>
      <c r="I41" s="4"/>
    </row>
    <row r="42">
      <c r="A42" s="4"/>
      <c r="B42" s="4"/>
      <c r="C42" s="4"/>
      <c r="D42" s="4"/>
      <c r="E42" s="4"/>
      <c r="F42" s="4"/>
      <c r="G42" s="4"/>
      <c r="H42" s="4"/>
      <c r="I42" s="4"/>
    </row>
    <row r="43">
      <c r="A43" s="4"/>
      <c r="B43" s="4"/>
      <c r="C43" s="4"/>
      <c r="D43" s="4"/>
      <c r="E43" s="4"/>
      <c r="F43" s="4"/>
      <c r="G43" s="4"/>
      <c r="H43" s="4"/>
      <c r="I43" s="4"/>
    </row>
    <row r="44">
      <c r="A44" s="4"/>
      <c r="B44" s="4"/>
      <c r="C44" s="4"/>
      <c r="D44" s="4"/>
      <c r="E44" s="4"/>
      <c r="F44" s="4"/>
      <c r="G44" s="4"/>
      <c r="H44" s="4"/>
      <c r="I44" s="4"/>
    </row>
    <row r="45">
      <c r="A45" s="4"/>
      <c r="B45" s="4"/>
      <c r="C45" s="4"/>
      <c r="D45" s="4"/>
      <c r="E45" s="4"/>
      <c r="F45" s="4"/>
      <c r="G45" s="4"/>
      <c r="H45" s="4"/>
      <c r="I45" s="4"/>
    </row>
    <row r="46">
      <c r="A46" s="4"/>
      <c r="B46" s="4"/>
      <c r="C46" s="4"/>
      <c r="D46" s="4"/>
      <c r="E46" s="4"/>
      <c r="F46" s="4"/>
      <c r="G46" s="4"/>
      <c r="H46" s="4"/>
      <c r="I46" s="4"/>
    </row>
    <row r="47">
      <c r="A47" s="4"/>
      <c r="B47" s="4"/>
      <c r="C47" s="4"/>
      <c r="D47" s="4"/>
      <c r="E47" s="4"/>
      <c r="F47" s="4"/>
      <c r="G47" s="4"/>
      <c r="H47" s="4"/>
      <c r="I47" s="4"/>
    </row>
    <row r="48">
      <c r="A48" s="4"/>
      <c r="B48" s="4"/>
      <c r="C48" s="4"/>
      <c r="D48" s="4"/>
      <c r="E48" s="4"/>
      <c r="F48" s="4"/>
      <c r="G48" s="4"/>
      <c r="H48" s="4"/>
      <c r="I48" s="4"/>
    </row>
    <row r="49">
      <c r="A49" s="4"/>
      <c r="B49" s="4"/>
      <c r="C49" s="4"/>
      <c r="D49" s="4"/>
      <c r="E49" s="4"/>
      <c r="F49" s="4"/>
      <c r="G49" s="4"/>
      <c r="H49" s="4"/>
      <c r="I49" s="4"/>
    </row>
    <row r="50">
      <c r="A50" s="4"/>
      <c r="B50" s="4"/>
      <c r="C50" s="4"/>
      <c r="D50" s="4"/>
      <c r="E50" s="4"/>
      <c r="F50" s="4"/>
      <c r="G50" s="4"/>
      <c r="H50" s="4"/>
      <c r="I50" s="4"/>
    </row>
    <row r="51">
      <c r="A51" s="4"/>
      <c r="B51" s="4"/>
      <c r="C51" s="4"/>
      <c r="D51" s="4"/>
      <c r="E51" s="4"/>
      <c r="F51" s="4"/>
      <c r="G51" s="4"/>
      <c r="H51" s="4"/>
      <c r="I51" s="4"/>
    </row>
    <row r="52">
      <c r="A52" s="4"/>
      <c r="B52" s="4"/>
      <c r="C52" s="4"/>
      <c r="D52" s="4"/>
      <c r="E52" s="4"/>
      <c r="F52" s="4"/>
      <c r="G52" s="4"/>
      <c r="H52" s="4"/>
      <c r="I52" s="4"/>
    </row>
    <row r="53">
      <c r="A53" s="4"/>
      <c r="B53" s="4"/>
      <c r="C53" s="4"/>
      <c r="D53" s="4"/>
      <c r="E53" s="4"/>
      <c r="F53" s="4"/>
      <c r="G53" s="4"/>
      <c r="H53" s="4"/>
      <c r="I53" s="4"/>
    </row>
    <row r="54">
      <c r="A54" s="4"/>
      <c r="B54" s="4"/>
      <c r="C54" s="4"/>
      <c r="D54" s="4"/>
      <c r="E54" s="4"/>
      <c r="F54" s="4"/>
      <c r="G54" s="4"/>
      <c r="H54" s="4"/>
      <c r="I54" s="4"/>
    </row>
    <row r="55">
      <c r="A55" s="4"/>
      <c r="B55" s="4"/>
      <c r="C55" s="4"/>
      <c r="D55" s="4"/>
      <c r="E55" s="4"/>
      <c r="F55" s="4"/>
      <c r="G55" s="4"/>
      <c r="H55" s="4"/>
      <c r="I55" s="4"/>
    </row>
    <row r="56">
      <c r="A56" s="4"/>
      <c r="B56" s="4"/>
      <c r="C56" s="4"/>
      <c r="D56" s="4"/>
      <c r="E56" s="4"/>
      <c r="F56" s="4"/>
      <c r="G56" s="4"/>
      <c r="H56" s="4"/>
      <c r="I56" s="4"/>
    </row>
    <row r="57">
      <c r="A57" s="4"/>
      <c r="B57" s="4"/>
      <c r="C57" s="4"/>
      <c r="D57" s="4"/>
      <c r="E57" s="4"/>
      <c r="F57" s="4"/>
      <c r="G57" s="4"/>
      <c r="H57" s="4"/>
      <c r="I57" s="4"/>
    </row>
    <row r="58">
      <c r="A58" s="4"/>
      <c r="B58" s="4"/>
      <c r="C58" s="4"/>
      <c r="D58" s="4"/>
      <c r="E58" s="4"/>
      <c r="F58" s="4"/>
      <c r="G58" s="4"/>
      <c r="H58" s="4"/>
      <c r="I58" s="4"/>
    </row>
    <row r="59">
      <c r="A59" s="4"/>
      <c r="B59" s="4"/>
      <c r="C59" s="4"/>
      <c r="D59" s="4"/>
      <c r="E59" s="4"/>
      <c r="F59" s="4"/>
      <c r="G59" s="4"/>
      <c r="H59" s="4"/>
      <c r="I59" s="4"/>
    </row>
    <row r="60">
      <c r="A60" s="4"/>
      <c r="B60" s="4"/>
      <c r="C60" s="4"/>
      <c r="D60" s="4"/>
      <c r="E60" s="4"/>
      <c r="F60" s="4"/>
      <c r="G60" s="4"/>
      <c r="H60" s="4"/>
      <c r="I60" s="4"/>
    </row>
    <row r="61">
      <c r="A61" s="4"/>
      <c r="B61" s="4"/>
      <c r="C61" s="4"/>
      <c r="D61" s="4"/>
      <c r="E61" s="4"/>
      <c r="F61" s="4"/>
      <c r="G61" s="4"/>
      <c r="H61" s="4"/>
      <c r="I61" s="4"/>
    </row>
    <row r="62">
      <c r="A62" s="4"/>
      <c r="B62" s="4"/>
      <c r="C62" s="4"/>
      <c r="D62" s="4"/>
      <c r="E62" s="4"/>
      <c r="F62" s="4"/>
      <c r="G62" s="4"/>
      <c r="H62" s="4"/>
      <c r="I62" s="4"/>
    </row>
    <row r="63">
      <c r="A63" s="4"/>
      <c r="B63" s="4"/>
      <c r="C63" s="4"/>
      <c r="D63" s="4"/>
      <c r="E63" s="4"/>
      <c r="F63" s="4"/>
      <c r="G63" s="4"/>
      <c r="H63" s="4"/>
      <c r="I63" s="4"/>
    </row>
    <row r="64">
      <c r="A64" s="4"/>
      <c r="B64" s="4"/>
      <c r="C64" s="4"/>
      <c r="D64" s="4"/>
      <c r="E64" s="4"/>
      <c r="F64" s="4"/>
      <c r="G64" s="4"/>
      <c r="H64" s="4"/>
      <c r="I64" s="4"/>
    </row>
    <row r="65">
      <c r="A65" s="4"/>
      <c r="B65" s="4"/>
      <c r="C65" s="4"/>
      <c r="D65" s="4"/>
      <c r="E65" s="4"/>
      <c r="F65" s="4"/>
      <c r="G65" s="4"/>
      <c r="H65" s="4"/>
      <c r="I65" s="4"/>
    </row>
    <row r="66">
      <c r="A66" s="4"/>
      <c r="B66" s="4"/>
      <c r="C66" s="4"/>
      <c r="D66" s="4"/>
      <c r="E66" s="4"/>
      <c r="F66" s="4"/>
      <c r="G66" s="4"/>
      <c r="H66" s="4"/>
      <c r="I66" s="4"/>
    </row>
    <row r="67">
      <c r="A67" s="4"/>
      <c r="B67" s="4"/>
      <c r="C67" s="4"/>
      <c r="D67" s="4"/>
      <c r="E67" s="4"/>
      <c r="F67" s="4"/>
      <c r="G67" s="4"/>
      <c r="H67" s="4"/>
      <c r="I67" s="4"/>
    </row>
    <row r="68">
      <c r="A68" s="4"/>
      <c r="B68" s="4"/>
      <c r="C68" s="4"/>
      <c r="D68" s="4"/>
      <c r="E68" s="4"/>
      <c r="F68" s="4"/>
      <c r="G68" s="4"/>
      <c r="H68" s="4"/>
      <c r="I68" s="4"/>
    </row>
    <row r="69">
      <c r="A69" s="4"/>
      <c r="B69" s="4"/>
      <c r="C69" s="4"/>
      <c r="D69" s="4"/>
      <c r="E69" s="4"/>
      <c r="F69" s="4"/>
      <c r="G69" s="4"/>
      <c r="H69" s="4"/>
      <c r="I69" s="4"/>
    </row>
    <row r="70">
      <c r="A70" s="4"/>
      <c r="B70" s="4"/>
      <c r="C70" s="4"/>
      <c r="D70" s="4"/>
      <c r="E70" s="4"/>
      <c r="F70" s="4"/>
      <c r="G70" s="4"/>
      <c r="H70" s="4"/>
      <c r="I70" s="4"/>
    </row>
    <row r="71">
      <c r="A71" s="4"/>
      <c r="B71" s="4"/>
      <c r="C71" s="4"/>
      <c r="D71" s="4"/>
      <c r="E71" s="4"/>
      <c r="F71" s="4"/>
      <c r="G71" s="4"/>
      <c r="H71" s="4"/>
      <c r="I71" s="4"/>
    </row>
    <row r="72">
      <c r="A72" s="4"/>
      <c r="B72" s="4"/>
      <c r="C72" s="4"/>
      <c r="D72" s="4"/>
      <c r="E72" s="4"/>
      <c r="F72" s="4"/>
      <c r="G72" s="4"/>
      <c r="H72" s="4"/>
      <c r="I72" s="4"/>
    </row>
    <row r="73">
      <c r="A73" s="4"/>
      <c r="B73" s="4"/>
      <c r="C73" s="4"/>
      <c r="D73" s="4"/>
      <c r="E73" s="4"/>
      <c r="F73" s="4"/>
      <c r="G73" s="4"/>
      <c r="H73" s="4"/>
      <c r="I73" s="4"/>
    </row>
    <row r="74">
      <c r="A74" s="4"/>
      <c r="B74" s="4"/>
      <c r="C74" s="4"/>
      <c r="D74" s="4"/>
      <c r="E74" s="4"/>
      <c r="F74" s="4"/>
      <c r="G74" s="4"/>
      <c r="H74" s="4"/>
      <c r="I74" s="4"/>
    </row>
    <row r="75">
      <c r="A75" s="4"/>
      <c r="B75" s="4"/>
      <c r="C75" s="4"/>
      <c r="D75" s="4"/>
      <c r="E75" s="4"/>
      <c r="F75" s="4"/>
      <c r="G75" s="4"/>
      <c r="H75" s="4"/>
      <c r="I75" s="4"/>
    </row>
    <row r="76">
      <c r="A76" s="4"/>
      <c r="B76" s="4"/>
      <c r="C76" s="4"/>
      <c r="D76" s="4"/>
      <c r="E76" s="4"/>
      <c r="F76" s="4"/>
      <c r="G76" s="4"/>
      <c r="H76" s="4"/>
      <c r="I76" s="4"/>
    </row>
    <row r="77">
      <c r="A77" s="4"/>
      <c r="B77" s="4"/>
      <c r="C77" s="4"/>
      <c r="D77" s="4"/>
      <c r="E77" s="4"/>
      <c r="F77" s="4"/>
      <c r="G77" s="4"/>
      <c r="H77" s="4"/>
      <c r="I77" s="4"/>
    </row>
    <row r="78">
      <c r="A78" s="4"/>
      <c r="B78" s="4"/>
      <c r="C78" s="4"/>
      <c r="D78" s="4"/>
      <c r="E78" s="4"/>
      <c r="F78" s="4"/>
      <c r="G78" s="4"/>
      <c r="H78" s="4"/>
      <c r="I78" s="4"/>
    </row>
    <row r="79">
      <c r="A79" s="4"/>
      <c r="B79" s="4"/>
      <c r="C79" s="4"/>
      <c r="D79" s="4"/>
      <c r="E79" s="4"/>
      <c r="F79" s="4"/>
      <c r="G79" s="4"/>
      <c r="H79" s="4"/>
      <c r="I79" s="4"/>
    </row>
    <row r="80">
      <c r="A80" s="4"/>
      <c r="B80" s="4"/>
      <c r="C80" s="4"/>
      <c r="D80" s="4"/>
      <c r="E80" s="4"/>
      <c r="F80" s="4"/>
      <c r="G80" s="4"/>
      <c r="H80" s="4"/>
      <c r="I80" s="4"/>
    </row>
    <row r="81">
      <c r="A81" s="4"/>
      <c r="B81" s="4"/>
      <c r="C81" s="4"/>
      <c r="D81" s="4"/>
      <c r="E81" s="4"/>
      <c r="F81" s="4"/>
      <c r="G81" s="4"/>
      <c r="H81" s="4"/>
      <c r="I81" s="4"/>
    </row>
    <row r="82">
      <c r="A82" s="4"/>
      <c r="B82" s="4"/>
      <c r="C82" s="4"/>
      <c r="D82" s="4"/>
      <c r="E82" s="4"/>
      <c r="F82" s="4"/>
      <c r="G82" s="4"/>
      <c r="H82" s="4"/>
      <c r="I82" s="4"/>
    </row>
    <row r="83">
      <c r="A83" s="4"/>
      <c r="B83" s="4"/>
      <c r="C83" s="4"/>
      <c r="D83" s="4"/>
      <c r="E83" s="4"/>
      <c r="F83" s="4"/>
      <c r="G83" s="4"/>
      <c r="H83" s="4"/>
      <c r="I83" s="4"/>
    </row>
    <row r="84">
      <c r="A84" s="4"/>
      <c r="B84" s="4"/>
      <c r="C84" s="4"/>
      <c r="D84" s="4"/>
      <c r="E84" s="4"/>
      <c r="F84" s="4"/>
      <c r="G84" s="4"/>
      <c r="H84" s="4"/>
      <c r="I84" s="4"/>
    </row>
    <row r="85">
      <c r="A85" s="4"/>
      <c r="B85" s="4"/>
      <c r="C85" s="4"/>
      <c r="D85" s="4"/>
      <c r="E85" s="4"/>
      <c r="F85" s="4"/>
      <c r="G85" s="4"/>
      <c r="H85" s="4"/>
      <c r="I85" s="4"/>
    </row>
    <row r="86">
      <c r="A86" s="4"/>
      <c r="B86" s="4"/>
      <c r="C86" s="4"/>
      <c r="D86" s="4"/>
      <c r="E86" s="4"/>
      <c r="F86" s="4"/>
      <c r="G86" s="4"/>
      <c r="H86" s="4"/>
      <c r="I86" s="4"/>
    </row>
    <row r="87">
      <c r="A87" s="4"/>
      <c r="B87" s="4"/>
      <c r="C87" s="4"/>
      <c r="D87" s="4"/>
      <c r="E87" s="4"/>
      <c r="F87" s="4"/>
      <c r="G87" s="4"/>
      <c r="H87" s="4"/>
      <c r="I87" s="4"/>
    </row>
    <row r="88">
      <c r="A88" s="4"/>
      <c r="B88" s="4"/>
      <c r="C88" s="4"/>
      <c r="D88" s="4"/>
      <c r="E88" s="4"/>
      <c r="F88" s="4"/>
      <c r="G88" s="4"/>
      <c r="H88" s="4"/>
      <c r="I88" s="4"/>
    </row>
    <row r="89">
      <c r="A89" s="4"/>
      <c r="B89" s="4"/>
      <c r="C89" s="4"/>
      <c r="D89" s="4"/>
      <c r="E89" s="4"/>
      <c r="F89" s="4"/>
      <c r="G89" s="4"/>
      <c r="H89" s="4"/>
      <c r="I89" s="4"/>
    </row>
    <row r="90">
      <c r="A90" s="4"/>
      <c r="B90" s="4"/>
      <c r="C90" s="4"/>
      <c r="D90" s="4"/>
      <c r="E90" s="4"/>
      <c r="F90" s="4"/>
      <c r="G90" s="4"/>
      <c r="H90" s="4"/>
      <c r="I90" s="4"/>
    </row>
    <row r="91">
      <c r="A91" s="4"/>
      <c r="B91" s="4"/>
      <c r="C91" s="4"/>
      <c r="D91" s="4"/>
      <c r="E91" s="4"/>
      <c r="F91" s="4"/>
      <c r="G91" s="4"/>
      <c r="H91" s="4"/>
      <c r="I91" s="4"/>
    </row>
    <row r="92">
      <c r="A92" s="4"/>
      <c r="B92" s="4"/>
      <c r="C92" s="4"/>
      <c r="D92" s="4"/>
      <c r="E92" s="4"/>
      <c r="F92" s="4"/>
      <c r="G92" s="4"/>
      <c r="H92" s="4"/>
      <c r="I92" s="4"/>
    </row>
    <row r="93">
      <c r="A93" s="4"/>
      <c r="B93" s="4"/>
      <c r="C93" s="4"/>
      <c r="D93" s="4"/>
      <c r="E93" s="4"/>
      <c r="F93" s="4"/>
      <c r="G93" s="4"/>
      <c r="H93" s="4"/>
      <c r="I93" s="4"/>
    </row>
    <row r="94">
      <c r="A94" s="4"/>
      <c r="B94" s="4"/>
      <c r="C94" s="4"/>
      <c r="D94" s="4"/>
      <c r="E94" s="4"/>
      <c r="F94" s="4"/>
      <c r="G94" s="4"/>
      <c r="H94" s="4"/>
      <c r="I94" s="4"/>
    </row>
    <row r="95">
      <c r="A95" s="4"/>
      <c r="B95" s="4"/>
      <c r="C95" s="4"/>
      <c r="D95" s="4"/>
      <c r="E95" s="4"/>
      <c r="F95" s="4"/>
      <c r="G95" s="4"/>
      <c r="H95" s="4"/>
      <c r="I95" s="4"/>
    </row>
    <row r="96">
      <c r="A96" s="4"/>
      <c r="B96" s="4"/>
      <c r="C96" s="4"/>
      <c r="D96" s="4"/>
      <c r="E96" s="4"/>
      <c r="F96" s="4"/>
      <c r="G96" s="4"/>
      <c r="H96" s="4"/>
      <c r="I96" s="4"/>
    </row>
    <row r="97">
      <c r="A97" s="4"/>
      <c r="B97" s="4"/>
      <c r="C97" s="4"/>
      <c r="D97" s="4"/>
      <c r="E97" s="4"/>
      <c r="F97" s="4"/>
      <c r="G97" s="4"/>
      <c r="H97" s="4"/>
      <c r="I97" s="4"/>
    </row>
    <row r="98">
      <c r="A98" s="4"/>
      <c r="B98" s="4"/>
      <c r="C98" s="4"/>
      <c r="D98" s="4"/>
      <c r="E98" s="4"/>
      <c r="F98" s="4"/>
      <c r="G98" s="4"/>
      <c r="H98" s="4"/>
      <c r="I98" s="4"/>
    </row>
    <row r="99">
      <c r="A99" s="4"/>
      <c r="B99" s="4"/>
      <c r="C99" s="4"/>
      <c r="D99" s="4"/>
      <c r="E99" s="4"/>
      <c r="F99" s="4"/>
      <c r="G99" s="4"/>
      <c r="H99" s="4"/>
      <c r="I99" s="4"/>
    </row>
    <row r="100">
      <c r="A100" s="4"/>
      <c r="B100" s="4"/>
      <c r="C100" s="4"/>
      <c r="D100" s="4"/>
      <c r="E100" s="4"/>
      <c r="F100" s="4"/>
      <c r="G100" s="4"/>
      <c r="H100" s="4"/>
      <c r="I100" s="4"/>
    </row>
    <row r="101">
      <c r="A101" s="4"/>
      <c r="B101" s="4"/>
      <c r="C101" s="4"/>
      <c r="D101" s="4"/>
      <c r="E101" s="4"/>
      <c r="F101" s="4"/>
      <c r="G101" s="4"/>
      <c r="H101" s="4"/>
      <c r="I101" s="4"/>
    </row>
    <row r="102">
      <c r="A102" s="4"/>
      <c r="B102" s="4"/>
      <c r="C102" s="4"/>
      <c r="D102" s="4"/>
      <c r="E102" s="4"/>
      <c r="F102" s="4"/>
      <c r="G102" s="4"/>
      <c r="H102" s="4"/>
      <c r="I102" s="4"/>
    </row>
    <row r="103">
      <c r="A103" s="4"/>
      <c r="B103" s="4"/>
      <c r="C103" s="4"/>
      <c r="D103" s="4"/>
      <c r="E103" s="4"/>
      <c r="F103" s="4"/>
      <c r="G103" s="4"/>
      <c r="H103" s="4"/>
      <c r="I103" s="4"/>
    </row>
    <row r="104">
      <c r="A104" s="4"/>
      <c r="B104" s="4"/>
      <c r="C104" s="4"/>
      <c r="D104" s="4"/>
      <c r="E104" s="4"/>
      <c r="F104" s="4"/>
      <c r="G104" s="4"/>
      <c r="H104" s="4"/>
      <c r="I104" s="4"/>
    </row>
    <row r="105">
      <c r="A105" s="4"/>
      <c r="B105" s="4"/>
      <c r="C105" s="4"/>
      <c r="D105" s="4"/>
      <c r="E105" s="4"/>
      <c r="F105" s="4"/>
      <c r="G105" s="4"/>
      <c r="H105" s="4"/>
      <c r="I105" s="4"/>
    </row>
    <row r="106">
      <c r="A106" s="4"/>
      <c r="B106" s="4"/>
      <c r="C106" s="4"/>
      <c r="D106" s="4"/>
      <c r="E106" s="4"/>
      <c r="F106" s="4"/>
      <c r="G106" s="4"/>
      <c r="H106" s="4"/>
      <c r="I106" s="4"/>
    </row>
    <row r="107">
      <c r="A107" s="4"/>
      <c r="B107" s="4"/>
      <c r="C107" s="4"/>
      <c r="D107" s="4"/>
      <c r="E107" s="4"/>
      <c r="F107" s="4"/>
      <c r="G107" s="4"/>
      <c r="H107" s="4"/>
      <c r="I107" s="4"/>
    </row>
    <row r="108">
      <c r="A108" s="4"/>
      <c r="B108" s="4"/>
      <c r="C108" s="4"/>
      <c r="D108" s="4"/>
      <c r="E108" s="4"/>
      <c r="F108" s="4"/>
      <c r="G108" s="4"/>
      <c r="H108" s="4"/>
      <c r="I108" s="4"/>
    </row>
    <row r="109">
      <c r="A109" s="4"/>
      <c r="B109" s="4"/>
      <c r="C109" s="4"/>
      <c r="D109" s="4"/>
      <c r="E109" s="4"/>
      <c r="F109" s="4"/>
      <c r="G109" s="4"/>
      <c r="H109" s="4"/>
      <c r="I109" s="4"/>
    </row>
    <row r="110">
      <c r="A110" s="4"/>
      <c r="B110" s="4"/>
      <c r="C110" s="4"/>
      <c r="D110" s="4"/>
      <c r="E110" s="4"/>
      <c r="F110" s="4"/>
      <c r="G110" s="4"/>
      <c r="H110" s="4"/>
      <c r="I110" s="4"/>
    </row>
    <row r="111">
      <c r="A111" s="4"/>
      <c r="B111" s="4"/>
      <c r="C111" s="4"/>
      <c r="D111" s="4"/>
      <c r="E111" s="4"/>
      <c r="F111" s="4"/>
      <c r="G111" s="4"/>
      <c r="H111" s="4"/>
      <c r="I111" s="4"/>
    </row>
    <row r="112">
      <c r="A112" s="4"/>
      <c r="B112" s="4"/>
      <c r="C112" s="4"/>
      <c r="D112" s="4"/>
      <c r="E112" s="4"/>
      <c r="F112" s="4"/>
      <c r="G112" s="4"/>
      <c r="H112" s="4"/>
      <c r="I112" s="4"/>
    </row>
    <row r="113">
      <c r="A113" s="4"/>
      <c r="B113" s="4"/>
      <c r="C113" s="4"/>
      <c r="D113" s="4"/>
      <c r="E113" s="4"/>
      <c r="F113" s="4"/>
      <c r="G113" s="4"/>
      <c r="H113" s="4"/>
      <c r="I113" s="4"/>
    </row>
    <row r="114">
      <c r="A114" s="4"/>
      <c r="B114" s="4"/>
      <c r="C114" s="4"/>
      <c r="D114" s="4"/>
      <c r="E114" s="4"/>
      <c r="F114" s="4"/>
      <c r="G114" s="4"/>
      <c r="H114" s="4"/>
      <c r="I114" s="4"/>
    </row>
    <row r="115">
      <c r="A115" s="4"/>
      <c r="B115" s="4"/>
      <c r="C115" s="4"/>
      <c r="D115" s="4"/>
      <c r="E115" s="4"/>
      <c r="F115" s="4"/>
      <c r="G115" s="4"/>
      <c r="H115" s="4"/>
      <c r="I115" s="4"/>
    </row>
    <row r="116">
      <c r="A116" s="4"/>
      <c r="B116" s="4"/>
      <c r="C116" s="4"/>
      <c r="D116" s="4"/>
      <c r="E116" s="4"/>
      <c r="F116" s="4"/>
      <c r="G116" s="4"/>
      <c r="H116" s="4"/>
      <c r="I116" s="4"/>
    </row>
    <row r="117">
      <c r="A117" s="4"/>
      <c r="B117" s="4"/>
      <c r="C117" s="4"/>
      <c r="D117" s="4"/>
      <c r="E117" s="4"/>
      <c r="F117" s="4"/>
      <c r="G117" s="4"/>
      <c r="H117" s="4"/>
      <c r="I117" s="4"/>
    </row>
    <row r="118">
      <c r="A118" s="4"/>
      <c r="B118" s="4"/>
      <c r="C118" s="4"/>
      <c r="D118" s="4"/>
      <c r="E118" s="4"/>
      <c r="F118" s="4"/>
      <c r="G118" s="4"/>
      <c r="H118" s="4"/>
      <c r="I118" s="4"/>
    </row>
    <row r="119">
      <c r="A119" s="4"/>
      <c r="B119" s="4"/>
      <c r="C119" s="4"/>
      <c r="D119" s="4"/>
      <c r="E119" s="4"/>
      <c r="F119" s="4"/>
      <c r="G119" s="4"/>
      <c r="H119" s="4"/>
      <c r="I119" s="4"/>
    </row>
    <row r="120">
      <c r="A120" s="4"/>
      <c r="B120" s="4"/>
      <c r="C120" s="4"/>
      <c r="D120" s="4"/>
      <c r="E120" s="4"/>
      <c r="F120" s="4"/>
      <c r="G120" s="4"/>
      <c r="H120" s="4"/>
      <c r="I120" s="4"/>
    </row>
    <row r="121">
      <c r="A121" s="4"/>
      <c r="B121" s="4"/>
      <c r="C121" s="4"/>
      <c r="D121" s="4"/>
      <c r="E121" s="4"/>
      <c r="F121" s="4"/>
      <c r="G121" s="4"/>
      <c r="H121" s="4"/>
      <c r="I121" s="4"/>
    </row>
    <row r="122">
      <c r="A122" s="4"/>
      <c r="B122" s="4"/>
      <c r="C122" s="4"/>
      <c r="D122" s="4"/>
      <c r="E122" s="4"/>
      <c r="F122" s="4"/>
      <c r="G122" s="4"/>
      <c r="H122" s="4"/>
      <c r="I12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v>
      </c>
      <c r="B1" s="11" t="s">
        <v>21</v>
      </c>
    </row>
    <row r="2">
      <c r="A2" s="10" t="s">
        <v>2</v>
      </c>
      <c r="B2" s="11" t="s">
        <v>22</v>
      </c>
    </row>
    <row r="3">
      <c r="A3" s="10" t="s">
        <v>0</v>
      </c>
      <c r="B3" s="11" t="s">
        <v>23</v>
      </c>
    </row>
    <row r="4">
      <c r="A4" s="10" t="s">
        <v>4</v>
      </c>
      <c r="B4" s="11" t="s">
        <v>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IFERROR(__xludf.DUMMYFUNCTION("IMPORTRANGE(""https://docs.google.com/spreadsheets/d/""&amp;Config!$B$2,""GuildRanks!A:AX"")"),"Ranks")</f>
        <v>Ranks</v>
      </c>
      <c r="B1" s="4" t="str">
        <f>IFERROR(__xludf.DUMMYFUNCTION("""COMPUTED_VALUE"""),"Rank description")</f>
        <v>Rank description</v>
      </c>
      <c r="C1" s="4" t="str">
        <f>IFERROR(__xludf.DUMMYFUNCTION("""COMPUTED_VALUE"""),"Requirements")</f>
        <v>Requirements</v>
      </c>
      <c r="D1" s="4"/>
      <c r="E1" s="4"/>
      <c r="F1" s="4"/>
      <c r="G1" s="4"/>
      <c r="H1" s="4"/>
      <c r="I1" s="4"/>
      <c r="J1" s="4"/>
      <c r="K1" s="4"/>
      <c r="L1" s="4"/>
      <c r="M1" s="4"/>
      <c r="N1" s="4"/>
      <c r="O1" s="4"/>
      <c r="P1" s="4"/>
      <c r="Q1" s="4"/>
      <c r="R1" s="4"/>
      <c r="S1" s="4"/>
      <c r="T1" s="4"/>
      <c r="U1" s="4"/>
      <c r="V1" s="4"/>
      <c r="W1" s="4"/>
      <c r="X1" s="4"/>
      <c r="Y1" s="4"/>
      <c r="Z1" s="4"/>
    </row>
    <row r="2">
      <c r="A2" s="4" t="str">
        <f>IFERROR(__xludf.DUMMYFUNCTION("""COMPUTED_VALUE"""),"Guild Member")</f>
        <v>Guild Member</v>
      </c>
      <c r="B2" s="4" t="str">
        <f>IFERROR(__xludf.DUMMYFUNCTION("""COMPUTED_VALUE"""),"Starting rank, has no advantages in the guild.")</f>
        <v>Starting rank, has no advantages in the guild.</v>
      </c>
      <c r="C2" s="4" t="str">
        <f>IFERROR(__xludf.DUMMYFUNCTION("""COMPUTED_VALUE"""),"None")</f>
        <v>None</v>
      </c>
      <c r="D2" s="4"/>
      <c r="E2" s="4"/>
      <c r="F2" s="4"/>
      <c r="G2" s="4"/>
      <c r="H2" s="4"/>
      <c r="I2" s="4"/>
      <c r="J2" s="4"/>
      <c r="K2" s="4"/>
      <c r="L2" s="4"/>
      <c r="M2" s="4"/>
      <c r="N2" s="4"/>
      <c r="O2" s="4"/>
      <c r="P2" s="4"/>
      <c r="Q2" s="4"/>
      <c r="R2" s="4"/>
      <c r="S2" s="4"/>
      <c r="T2" s="4"/>
      <c r="U2" s="4"/>
      <c r="V2" s="4"/>
      <c r="W2" s="4"/>
      <c r="X2" s="4"/>
      <c r="Y2" s="4"/>
      <c r="Z2" s="4"/>
    </row>
    <row r="3">
      <c r="A3" s="4" t="str">
        <f>IFERROR(__xludf.DUMMYFUNCTION("""COMPUTED_VALUE"""),"Guild Nobel")</f>
        <v>Guild Nobel</v>
      </c>
      <c r="B3" s="4" t="str">
        <f>IFERROR(__xludf.DUMMYFUNCTION("""COMPUTED_VALUE"""),"2nd rank, 10% more gilders from guild quests.")</f>
        <v>2nd rank, 10% more gilders from guild quests.</v>
      </c>
      <c r="C3" s="4" t="str">
        <f>IFERROR(__xludf.DUMMYFUNCTION("""COMPUTED_VALUE"""),"Complete 5 guild quests.")</f>
        <v>Complete 5 guild quests.</v>
      </c>
      <c r="D3" s="4"/>
      <c r="E3" s="4"/>
      <c r="F3" s="4"/>
      <c r="G3" s="4"/>
      <c r="H3" s="4"/>
      <c r="I3" s="4"/>
      <c r="J3" s="4"/>
      <c r="K3" s="4"/>
      <c r="L3" s="4"/>
      <c r="M3" s="4"/>
      <c r="N3" s="4"/>
      <c r="O3" s="4"/>
      <c r="P3" s="4"/>
      <c r="Q3" s="4"/>
      <c r="R3" s="4"/>
      <c r="S3" s="4"/>
      <c r="T3" s="4"/>
      <c r="U3" s="4"/>
      <c r="V3" s="4"/>
      <c r="W3" s="4"/>
      <c r="X3" s="4"/>
      <c r="Y3" s="4"/>
      <c r="Z3" s="4"/>
    </row>
    <row r="4">
      <c r="A4" s="4" t="str">
        <f>IFERROR(__xludf.DUMMYFUNCTION("""COMPUTED_VALUE"""),"Guild Lord")</f>
        <v>Guild Lord</v>
      </c>
      <c r="B4" s="4" t="str">
        <f>IFERROR(__xludf.DUMMYFUNCTION("""COMPUTED_VALUE"""),"3rd rank, 15% more gilders from guild quests, will deal x2 damage during a guild quest.")</f>
        <v>3rd rank, 15% more gilders from guild quests, will deal x2 damage during a guild quest.</v>
      </c>
      <c r="C4" s="4" t="str">
        <f>IFERROR(__xludf.DUMMYFUNCTION("""COMPUTED_VALUE"""),"Complete 15 guild quests.")</f>
        <v>Complete 15 guild quests.</v>
      </c>
      <c r="D4" s="4"/>
      <c r="E4" s="4"/>
      <c r="F4" s="4"/>
      <c r="G4" s="4"/>
      <c r="H4" s="4"/>
      <c r="I4" s="4"/>
      <c r="J4" s="4"/>
      <c r="K4" s="4"/>
      <c r="L4" s="4"/>
      <c r="M4" s="4"/>
      <c r="N4" s="4"/>
      <c r="O4" s="4"/>
      <c r="P4" s="4"/>
      <c r="Q4" s="4"/>
      <c r="R4" s="4"/>
      <c r="S4" s="4"/>
      <c r="T4" s="4"/>
      <c r="U4" s="4"/>
      <c r="V4" s="4"/>
      <c r="W4" s="4"/>
      <c r="X4" s="4"/>
      <c r="Y4" s="4"/>
      <c r="Z4" s="4"/>
    </row>
    <row r="5">
      <c r="A5" s="4" t="str">
        <f>IFERROR(__xludf.DUMMYFUNCTION("""COMPUTED_VALUE"""),"Guild Veteran")</f>
        <v>Guild Veteran</v>
      </c>
      <c r="B5" s="4" t="str">
        <f>IFERROR(__xludf.DUMMYFUNCTION("""COMPUTED_VALUE"""),"4th rank, will get 25% more gilders from guild quests, will deal x4 damage during a guild quest.")</f>
        <v>4th rank, will get 25% more gilders from guild quests, will deal x4 damage during a guild quest.</v>
      </c>
      <c r="C5" s="4" t="str">
        <f>IFERROR(__xludf.DUMMYFUNCTION("""COMPUTED_VALUE"""),"Complete 30 guild quests.")</f>
        <v>Complete 30 guild quests.</v>
      </c>
      <c r="D5" s="4"/>
      <c r="E5" s="4"/>
      <c r="F5" s="4"/>
      <c r="G5" s="4"/>
      <c r="H5" s="4"/>
      <c r="I5" s="4"/>
      <c r="J5" s="4"/>
      <c r="K5" s="4"/>
      <c r="L5" s="4"/>
      <c r="M5" s="4"/>
      <c r="N5" s="4"/>
      <c r="O5" s="4"/>
      <c r="P5" s="4"/>
      <c r="Q5" s="4"/>
      <c r="R5" s="4"/>
      <c r="S5" s="4"/>
      <c r="T5" s="4"/>
      <c r="U5" s="4"/>
      <c r="V5" s="4"/>
      <c r="W5" s="4"/>
      <c r="X5" s="4"/>
      <c r="Y5" s="4"/>
      <c r="Z5" s="4"/>
    </row>
    <row r="6">
      <c r="A6" s="4" t="str">
        <f>IFERROR(__xludf.DUMMYFUNCTION("""COMPUTED_VALUE"""),"Guild Master")</f>
        <v>Guild Master</v>
      </c>
      <c r="B6" s="4" t="str">
        <f>IFERROR(__xludf.DUMMYFUNCTION("""COMPUTED_VALUE"""),"5th rank, will get 50% more gilders from guild quests, will deal x6 damage during a guild quest.")</f>
        <v>5th rank, will get 50% more gilders from guild quests, will deal x6 damage during a guild quest.</v>
      </c>
      <c r="C6" s="4" t="str">
        <f>IFERROR(__xludf.DUMMYFUNCTION("""COMPUTED_VALUE"""),"Complete 60 guild quests.")</f>
        <v>Complete 60 guild quests.</v>
      </c>
      <c r="D6" s="4"/>
      <c r="E6" s="4"/>
      <c r="F6" s="4"/>
      <c r="G6" s="4"/>
      <c r="H6" s="4"/>
      <c r="I6" s="4"/>
      <c r="J6" s="4"/>
      <c r="K6" s="4"/>
      <c r="L6" s="4"/>
      <c r="M6" s="4"/>
      <c r="N6" s="4"/>
      <c r="O6" s="4"/>
      <c r="P6" s="4"/>
      <c r="Q6" s="4"/>
      <c r="R6" s="4"/>
      <c r="S6" s="4"/>
      <c r="T6" s="4"/>
      <c r="U6" s="4"/>
      <c r="V6" s="4"/>
      <c r="W6" s="4"/>
      <c r="X6" s="4"/>
      <c r="Y6" s="4"/>
      <c r="Z6" s="4"/>
    </row>
    <row r="7">
      <c r="A7" s="4" t="str">
        <f>IFERROR(__xludf.DUMMYFUNCTION("""COMPUTED_VALUE"""),"Guild Leader")</f>
        <v>Guild Leader</v>
      </c>
      <c r="B7" s="4" t="str">
        <f>IFERROR(__xludf.DUMMYFUNCTION("""COMPUTED_VALUE"""),"Final rank, Leader of the guild, There can only be up to two guild leaders, will get 75% more gilders from guild quests, will deal x8 damage during a guild quest, can turn up to 15 bad days of travel into good days of travel once per journey, can demote p"&amp;"layers lower than them in the guild and ban players lower than them in the guild for bad behavior,")</f>
        <v>Final rank, Leader of the guild, There can only be up to two guild leaders, will get 75% more gilders from guild quests, will deal x8 damage during a guild quest, can turn up to 15 bad days of travel into good days of travel once per journey, can demote players lower than them in the guild and ban players lower than them in the guild for bad behavior,</v>
      </c>
      <c r="C7" s="4" t="str">
        <f>IFERROR(__xludf.DUMMYFUNCTION("""COMPUTED_VALUE"""),"Complete 100 guild quests and get permission from the original guild leader.")</f>
        <v>Complete 100 guild quests and get permission from the original guild leader.</v>
      </c>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IFERROR(__xludf.DUMMYFUNCTION("IMPORTRANGE(""https://docs.google.com/spreadsheets/d/""&amp;Config!$B$2,""GuildQuests!A:AX"")"),"Location")</f>
        <v>Location</v>
      </c>
      <c r="B1" s="4" t="str">
        <f>IFERROR(__xludf.DUMMYFUNCTION("""COMPUTED_VALUE"""),"Guild")</f>
        <v>Guild</v>
      </c>
      <c r="C1" s="4" t="str">
        <f>IFERROR(__xludf.DUMMYFUNCTION("""COMPUTED_VALUE"""),"Req Rank")</f>
        <v>Req Rank</v>
      </c>
      <c r="D1" s="4" t="str">
        <f>IFERROR(__xludf.DUMMYFUNCTION("""COMPUTED_VALUE"""),"Guild Quest Name")</f>
        <v>Guild Quest Name</v>
      </c>
      <c r="E1" s="4" t="str">
        <f>IFERROR(__xludf.DUMMYFUNCTION("""COMPUTED_VALUE"""),"Description")</f>
        <v>Description</v>
      </c>
      <c r="F1" s="4" t="str">
        <f>IFERROR(__xludf.DUMMYFUNCTION("""COMPUTED_VALUE"""),"Rewards")</f>
        <v>Rewards</v>
      </c>
      <c r="G1" s="4" t="str">
        <f>IFERROR(__xludf.DUMMYFUNCTION("""COMPUTED_VALUE"""),"Objectives")</f>
        <v>Objectives</v>
      </c>
      <c r="H1" s="4"/>
      <c r="I1" s="4"/>
      <c r="J1" s="4"/>
      <c r="K1" s="4"/>
      <c r="L1" s="4"/>
      <c r="M1" s="4"/>
      <c r="N1" s="4"/>
      <c r="O1" s="4"/>
      <c r="P1" s="4"/>
      <c r="Q1" s="4"/>
      <c r="R1" s="4"/>
      <c r="S1" s="4"/>
      <c r="T1" s="4"/>
      <c r="U1" s="4"/>
      <c r="V1" s="4"/>
      <c r="W1" s="4"/>
      <c r="X1" s="4"/>
      <c r="Y1" s="4"/>
      <c r="Z1" s="4"/>
    </row>
    <row r="2">
      <c r="A2" s="4" t="str">
        <f>IFERROR(__xludf.DUMMYFUNCTION("""COMPUTED_VALUE"""),"Civille")</f>
        <v>Civille</v>
      </c>
      <c r="B2" s="4" t="str">
        <f>IFERROR(__xludf.DUMMYFUNCTION("""COMPUTED_VALUE"""),"Adventurers Guild")</f>
        <v>Adventurers Guild</v>
      </c>
      <c r="C2" s="4" t="str">
        <f>IFERROR(__xludf.DUMMYFUNCTION("""COMPUTED_VALUE"""),"Guild Member")</f>
        <v>Guild Member</v>
      </c>
      <c r="D2" s="4" t="str">
        <f>IFERROR(__xludf.DUMMYFUNCTION("""COMPUTED_VALUE"""),"Saving 1 Life at a Time")</f>
        <v>Saving 1 Life at a Time</v>
      </c>
      <c r="E2" s="4" t="str">
        <f>IFERROR(__xludf.DUMMYFUNCTION("""COMPUTED_VALUE"""),"Save 3 NPC's while traveling. ")</f>
        <v>Save 3 NPC's while traveling. </v>
      </c>
      <c r="F2" s="4" t="str">
        <f>IFERROR(__xludf.DUMMYFUNCTION("""COMPUTED_VALUE"""),"10 Levels
10,000,000G")</f>
        <v>10 Levels
10,000,000G</v>
      </c>
      <c r="G2" s="4" t="str">
        <f>IFERROR(__xludf.DUMMYFUNCTION("""COMPUTED_VALUE"""),"1. Kill 3 enemies.
2. Return to a guild hall to claim your rewards.")</f>
        <v>1. Kill 3 enemies.
2. Return to a guild hall to claim your rewards.</v>
      </c>
      <c r="H2" s="4"/>
      <c r="I2" s="4"/>
      <c r="J2" s="4"/>
      <c r="K2" s="4"/>
      <c r="L2" s="4"/>
      <c r="M2" s="4"/>
      <c r="N2" s="4"/>
      <c r="O2" s="4"/>
      <c r="P2" s="4"/>
      <c r="Q2" s="4"/>
      <c r="R2" s="4"/>
      <c r="S2" s="4"/>
      <c r="T2" s="4"/>
      <c r="U2" s="4"/>
      <c r="V2" s="4"/>
      <c r="W2" s="4"/>
      <c r="X2" s="4"/>
      <c r="Y2" s="4"/>
      <c r="Z2" s="4"/>
    </row>
    <row r="3">
      <c r="A3" s="4" t="str">
        <f>IFERROR(__xludf.DUMMYFUNCTION("""COMPUTED_VALUE"""),"Port Fawn")</f>
        <v>Port Fawn</v>
      </c>
      <c r="B3" s="4" t="str">
        <f>IFERROR(__xludf.DUMMYFUNCTION("""COMPUTED_VALUE"""),"Merchants Guild")</f>
        <v>Merchants Guild</v>
      </c>
      <c r="C3" s="4" t="str">
        <f>IFERROR(__xludf.DUMMYFUNCTION("""COMPUTED_VALUE"""),"Guild Member")</f>
        <v>Guild Member</v>
      </c>
      <c r="D3" s="4" t="str">
        <f>IFERROR(__xludf.DUMMYFUNCTION("""COMPUTED_VALUE"""),"Selling My Soul")</f>
        <v>Selling My Soul</v>
      </c>
      <c r="E3" s="4" t="str">
        <f>IFERROR(__xludf.DUMMYFUNCTION("""COMPUTED_VALUE"""),"Successfully sell 3 different items to shops without failing to haggle. (You do not need to haggle to comple this quest)")</f>
        <v>Successfully sell 3 different items to shops without failing to haggle. (You do not need to haggle to comple this quest)</v>
      </c>
      <c r="F3" s="4" t="str">
        <f>IFERROR(__xludf.DUMMYFUNCTION("""COMPUTED_VALUE"""),"10 Levels
10,000,000G")</f>
        <v>10 Levels
10,000,000G</v>
      </c>
      <c r="G3" s="4" t="str">
        <f>IFERROR(__xludf.DUMMYFUNCTION("""COMPUTED_VALUE"""),"1. Sell 3 different items.
2. Return to a guild hall to claim your rewards.")</f>
        <v>1. Sell 3 different items.
2. Return to a guild hall to claim your rewards.</v>
      </c>
      <c r="H3" s="4"/>
      <c r="I3" s="4"/>
      <c r="J3" s="4"/>
      <c r="K3" s="4"/>
      <c r="L3" s="4"/>
      <c r="M3" s="4"/>
      <c r="N3" s="4"/>
      <c r="O3" s="4"/>
      <c r="P3" s="4"/>
      <c r="Q3" s="4"/>
      <c r="R3" s="4"/>
      <c r="S3" s="4"/>
      <c r="T3" s="4"/>
      <c r="U3" s="4"/>
      <c r="V3" s="4"/>
      <c r="W3" s="4"/>
      <c r="X3" s="4"/>
      <c r="Y3" s="4"/>
      <c r="Z3" s="4"/>
    </row>
    <row r="4">
      <c r="A4" s="4" t="str">
        <f>IFERROR(__xludf.DUMMYFUNCTION("""COMPUTED_VALUE"""),"Foul Night Swamp")</f>
        <v>Foul Night Swamp</v>
      </c>
      <c r="B4" s="4" t="str">
        <f>IFERROR(__xludf.DUMMYFUNCTION("""COMPUTED_VALUE"""),"Thieves Guild")</f>
        <v>Thieves Guild</v>
      </c>
      <c r="C4" s="4" t="str">
        <f>IFERROR(__xludf.DUMMYFUNCTION("""COMPUTED_VALUE"""),"Guild Member")</f>
        <v>Guild Member</v>
      </c>
      <c r="D4" s="4" t="str">
        <f>IFERROR(__xludf.DUMMYFUNCTION("""COMPUTED_VALUE"""),"Money! Money! Money!")</f>
        <v>Money! Money! Money!</v>
      </c>
      <c r="E4" s="4" t="str">
        <f>IFERROR(__xludf.DUMMYFUNCTION("""COMPUTED_VALUE"""),"Successfully rob 3 players, npc, or places of 50,000,000G or more without getting arrested.")</f>
        <v>Successfully rob 3 players, npc, or places of 50,000,000G or more without getting arrested.</v>
      </c>
      <c r="F4" s="4" t="str">
        <f>IFERROR(__xludf.DUMMYFUNCTION("""COMPUTED_VALUE"""),"10 Levels
10,000,000G")</f>
        <v>10 Levels
10,000,000G</v>
      </c>
      <c r="G4" s="4" t="str">
        <f>IFERROR(__xludf.DUMMYFUNCTION("""COMPUTED_VALUE"""),"1. Rob 3 players, npc, or places.
2. Return to a guild hall to claim your rewards.")</f>
        <v>1. Rob 3 players, npc, or places.
2. Return to a guild hall to claim your rewards.</v>
      </c>
      <c r="H4" s="4"/>
      <c r="I4" s="4"/>
      <c r="J4" s="4"/>
      <c r="K4" s="4"/>
      <c r="L4" s="4"/>
      <c r="M4" s="4"/>
      <c r="N4" s="4"/>
      <c r="O4" s="4"/>
      <c r="P4" s="4"/>
      <c r="Q4" s="4"/>
      <c r="R4" s="4"/>
      <c r="S4" s="4"/>
      <c r="T4" s="4"/>
      <c r="U4" s="4"/>
      <c r="V4" s="4"/>
      <c r="W4" s="4"/>
      <c r="X4" s="4"/>
      <c r="Y4" s="4"/>
      <c r="Z4" s="4"/>
    </row>
    <row r="5">
      <c r="A5" s="4" t="str">
        <f>IFERROR(__xludf.DUMMYFUNCTION("""COMPUTED_VALUE"""),"Crystal Cave")</f>
        <v>Crystal Cave</v>
      </c>
      <c r="B5" s="4" t="str">
        <f>IFERROR(__xludf.DUMMYFUNCTION("""COMPUTED_VALUE"""),"Blacksmiths Guild")</f>
        <v>Blacksmiths Guild</v>
      </c>
      <c r="C5" s="4" t="str">
        <f>IFERROR(__xludf.DUMMYFUNCTION("""COMPUTED_VALUE"""),"Guild Member")</f>
        <v>Guild Member</v>
      </c>
      <c r="D5" s="4" t="str">
        <f>IFERROR(__xludf.DUMMYFUNCTION("""COMPUTED_VALUE"""),"Iron Fatigue")</f>
        <v>Iron Fatigue</v>
      </c>
      <c r="E5" s="4" t="str">
        <f>IFERROR(__xludf.DUMMYFUNCTION("""COMPUTED_VALUE"""),"Successfully forge 3 pieces of equipment that contains 2+ forged items without breaking the items and sell it to 10 players, or shops. ")</f>
        <v>Successfully forge 3 pieces of equipment that contains 2+ forged items without breaking the items and sell it to 10 players, or shops. </v>
      </c>
      <c r="F5" s="4" t="str">
        <f>IFERROR(__xludf.DUMMYFUNCTION("""COMPUTED_VALUE"""),"10 Levels
10,000,000G")</f>
        <v>10 Levels
10,000,000G</v>
      </c>
      <c r="G5" s="4" t="str">
        <f>IFERROR(__xludf.DUMMYFUNCTION("""COMPUTED_VALUE"""),"1. Forge 3 pieces of equipment that contains 2+ forged items without breaking the items and sell it to 10 players, or shops. 
2. Return to a guild hall to claim your rewards.")</f>
        <v>1. Forge 3 pieces of equipment that contains 2+ forged items without breaking the items and sell it to 10 players, or shops. 
2. Return to a guild hall to claim your rewards.</v>
      </c>
      <c r="H5" s="4"/>
      <c r="I5" s="4"/>
      <c r="J5" s="4"/>
      <c r="K5" s="4"/>
      <c r="L5" s="4"/>
      <c r="M5" s="4"/>
      <c r="N5" s="4"/>
      <c r="O5" s="4"/>
      <c r="P5" s="4"/>
      <c r="Q5" s="4"/>
      <c r="R5" s="4"/>
      <c r="S5" s="4"/>
      <c r="T5" s="4"/>
      <c r="U5" s="4"/>
      <c r="V5" s="4"/>
      <c r="W5" s="4"/>
      <c r="X5" s="4"/>
      <c r="Y5" s="4"/>
      <c r="Z5" s="4"/>
    </row>
    <row r="6">
      <c r="A6" s="4" t="str">
        <f>IFERROR(__xludf.DUMMYFUNCTION("""COMPUTED_VALUE"""),"Zhenmay")</f>
        <v>Zhenmay</v>
      </c>
      <c r="B6" s="4" t="str">
        <f>IFERROR(__xludf.DUMMYFUNCTION("""COMPUTED_VALUE"""),"Chefs Guild")</f>
        <v>Chefs Guild</v>
      </c>
      <c r="C6" s="4" t="str">
        <f>IFERROR(__xludf.DUMMYFUNCTION("""COMPUTED_VALUE"""),"Guild Member")</f>
        <v>Guild Member</v>
      </c>
      <c r="D6" s="4" t="str">
        <f>IFERROR(__xludf.DUMMYFUNCTION("""COMPUTED_VALUE"""),"A Delicious Meal")</f>
        <v>A Delicious Meal</v>
      </c>
      <c r="E6" s="4" t="str">
        <f>IFERROR(__xludf.DUMMYFUNCTION("""COMPUTED_VALUE"""),"Successfully Prepare 3 meals without burning any food and feed it to players.")</f>
        <v>Successfully Prepare 3 meals without burning any food and feed it to players.</v>
      </c>
      <c r="F6" s="4" t="str">
        <f>IFERROR(__xludf.DUMMYFUNCTION("""COMPUTED_VALUE"""),"10 Levels
10,000,000G")</f>
        <v>10 Levels
10,000,000G</v>
      </c>
      <c r="G6" s="4" t="str">
        <f>IFERROR(__xludf.DUMMYFUNCTION("""COMPUTED_VALUE"""),"1. Prepare 3 meals and feed them to players.
2. Return to a guild hall to claim your rewards.")</f>
        <v>1. Prepare 3 meals and feed them to players.
2. Return to a guild hall to claim your rewards.</v>
      </c>
      <c r="H6" s="4"/>
      <c r="I6" s="4"/>
      <c r="J6" s="4"/>
      <c r="K6" s="4"/>
      <c r="L6" s="4"/>
      <c r="M6" s="4"/>
      <c r="N6" s="4"/>
      <c r="O6" s="4"/>
      <c r="P6" s="4"/>
      <c r="Q6" s="4"/>
      <c r="R6" s="4"/>
      <c r="S6" s="4"/>
      <c r="T6" s="4"/>
      <c r="U6" s="4"/>
      <c r="V6" s="4"/>
      <c r="W6" s="4"/>
      <c r="X6" s="4"/>
      <c r="Y6" s="4"/>
      <c r="Z6" s="4"/>
    </row>
    <row r="7">
      <c r="A7" s="4" t="str">
        <f>IFERROR(__xludf.DUMMYFUNCTION("""COMPUTED_VALUE"""),"Fertile Plains")</f>
        <v>Fertile Plains</v>
      </c>
      <c r="B7" s="4" t="str">
        <f>IFERROR(__xludf.DUMMYFUNCTION("""COMPUTED_VALUE"""),"Beast Masters Guild")</f>
        <v>Beast Masters Guild</v>
      </c>
      <c r="C7" s="4" t="str">
        <f>IFERROR(__xludf.DUMMYFUNCTION("""COMPUTED_VALUE"""),"Guild Member")</f>
        <v>Guild Member</v>
      </c>
      <c r="D7" s="4" t="str">
        <f>IFERROR(__xludf.DUMMYFUNCTION("""COMPUTED_VALUE"""),"To The Farm")</f>
        <v>To The Farm</v>
      </c>
      <c r="E7" s="4" t="str">
        <f>IFERROR(__xludf.DUMMYFUNCTION("""COMPUTED_VALUE"""),"Successfully Breed 3 companion without them becoming infetile and have each one be apart of a winning battle.")</f>
        <v>Successfully Breed 3 companion without them becoming infetile and have each one be apart of a winning battle.</v>
      </c>
      <c r="F7" s="4" t="str">
        <f>IFERROR(__xludf.DUMMYFUNCTION("""COMPUTED_VALUE"""),"10 Levels
10,000,000G")</f>
        <v>10 Levels
10,000,000G</v>
      </c>
      <c r="G7" s="4" t="str">
        <f>IFERROR(__xludf.DUMMYFUNCTION("""COMPUTED_VALUE"""),"1. Breed 3 companion without them becoming infetile and have each one be apart of a winning battle.
2. Return to a guild hall to claim your rewards.")</f>
        <v>1. Breed 3 companion without them becoming infetile and have each one be apart of a winning battle.
2. Return to a guild hall to claim your rewards.</v>
      </c>
      <c r="H7" s="4"/>
      <c r="I7" s="4"/>
      <c r="J7" s="4"/>
      <c r="K7" s="4"/>
      <c r="L7" s="4"/>
      <c r="M7" s="4"/>
      <c r="N7" s="4"/>
      <c r="O7" s="4"/>
      <c r="P7" s="4"/>
      <c r="Q7" s="4"/>
      <c r="R7" s="4"/>
      <c r="S7" s="4"/>
      <c r="T7" s="4"/>
      <c r="U7" s="4"/>
      <c r="V7" s="4"/>
      <c r="W7" s="4"/>
      <c r="X7" s="4"/>
      <c r="Y7" s="4"/>
      <c r="Z7" s="4"/>
    </row>
    <row r="8">
      <c r="A8" s="4" t="str">
        <f>IFERROR(__xludf.DUMMYFUNCTION("""COMPUTED_VALUE"""),"The Red Sands")</f>
        <v>The Red Sands</v>
      </c>
      <c r="B8" s="4" t="str">
        <f>IFERROR(__xludf.DUMMYFUNCTION("""COMPUTED_VALUE"""),"Royal Knights of Spira Guild")</f>
        <v>Royal Knights of Spira Guild</v>
      </c>
      <c r="C8" s="4" t="str">
        <f>IFERROR(__xludf.DUMMYFUNCTION("""COMPUTED_VALUE"""),"Guild Member")</f>
        <v>Guild Member</v>
      </c>
      <c r="D8" s="4" t="str">
        <f>IFERROR(__xludf.DUMMYFUNCTION("""COMPUTED_VALUE"""),"Sacred Land")</f>
        <v>Sacred Land</v>
      </c>
      <c r="E8" s="4" t="str">
        <f>IFERROR(__xludf.DUMMYFUNCTION("""COMPUTED_VALUE"""),"Successfully arrest 3 enemies without them getting away.")</f>
        <v>Successfully arrest 3 enemies without them getting away.</v>
      </c>
      <c r="F8" s="4" t="str">
        <f>IFERROR(__xludf.DUMMYFUNCTION("""COMPUTED_VALUE"""),"10 Levels
10,000,000G")</f>
        <v>10 Levels
10,000,000G</v>
      </c>
      <c r="G8" s="4" t="str">
        <f>IFERROR(__xludf.DUMMYFUNCTION("""COMPUTED_VALUE"""),"1. Arrest 3 enemies without them getting away.
2. Return to a guild hall to claim your rewards.")</f>
        <v>1. Arrest 3 enemies without them getting away.
2. Return to a guild hall to claim your rewards.</v>
      </c>
      <c r="H8" s="4"/>
      <c r="I8" s="4"/>
      <c r="J8" s="4"/>
      <c r="K8" s="4"/>
      <c r="L8" s="4"/>
      <c r="M8" s="4"/>
      <c r="N8" s="4"/>
      <c r="O8" s="4"/>
      <c r="P8" s="4"/>
      <c r="Q8" s="4"/>
      <c r="R8" s="4"/>
      <c r="S8" s="4"/>
      <c r="T8" s="4"/>
      <c r="U8" s="4"/>
      <c r="V8" s="4"/>
      <c r="W8" s="4"/>
      <c r="X8" s="4"/>
      <c r="Y8" s="4"/>
      <c r="Z8" s="4"/>
    </row>
    <row r="9">
      <c r="A9" s="4" t="str">
        <f>IFERROR(__xludf.DUMMYFUNCTION("""COMPUTED_VALUE"""),"Lake Town")</f>
        <v>Lake Town</v>
      </c>
      <c r="B9" s="4" t="str">
        <f>IFERROR(__xludf.DUMMYFUNCTION("""COMPUTED_VALUE"""),"The Bleach Clan")</f>
        <v>The Bleach Clan</v>
      </c>
      <c r="C9" s="4" t="str">
        <f>IFERROR(__xludf.DUMMYFUNCTION("""COMPUTED_VALUE"""),"Guild Member")</f>
        <v>Guild Member</v>
      </c>
      <c r="D9" s="4" t="str">
        <f>IFERROR(__xludf.DUMMYFUNCTION("""COMPUTED_VALUE"""),"A Good Laugh")</f>
        <v>A Good Laugh</v>
      </c>
      <c r="E9" s="4" t="str">
        <f>IFERROR(__xludf.DUMMYFUNCTION("""COMPUTED_VALUE"""),"Make 3 party members laugh.")</f>
        <v>Make 3 party members laugh.</v>
      </c>
      <c r="F9" s="4" t="str">
        <f>IFERROR(__xludf.DUMMYFUNCTION("""COMPUTED_VALUE"""),"10 Levels
10,000,000G")</f>
        <v>10 Levels
10,000,000G</v>
      </c>
      <c r="G9" s="4" t="str">
        <f>IFERROR(__xludf.DUMMYFUNCTION("""COMPUTED_VALUE"""),"1. Make 3 party members laugh.
2. Return to a guild hall to claim your rewards.")</f>
        <v>1. Make 3 party members laugh.
2. Return to a guild hall to claim your rewards.</v>
      </c>
      <c r="H9" s="4"/>
      <c r="I9" s="4"/>
      <c r="J9" s="4"/>
      <c r="K9" s="4"/>
      <c r="L9" s="4"/>
      <c r="M9" s="4"/>
      <c r="N9" s="4"/>
      <c r="O9" s="4"/>
      <c r="P9" s="4"/>
      <c r="Q9" s="4"/>
      <c r="R9" s="4"/>
      <c r="S9" s="4"/>
      <c r="T9" s="4"/>
      <c r="U9" s="4"/>
      <c r="V9" s="4"/>
      <c r="W9" s="4"/>
      <c r="X9" s="4"/>
      <c r="Y9" s="4"/>
      <c r="Z9" s="4"/>
    </row>
    <row r="10">
      <c r="A10" s="4" t="str">
        <f>IFERROR(__xludf.DUMMYFUNCTION("""COMPUTED_VALUE"""),"Mekana")</f>
        <v>Mekana</v>
      </c>
      <c r="B10" s="4" t="str">
        <f>IFERROR(__xludf.DUMMYFUNCTION("""COMPUTED_VALUE"""),"Pyromaniacs Guild")</f>
        <v>Pyromaniacs Guild</v>
      </c>
      <c r="C10" s="4" t="str">
        <f>IFERROR(__xludf.DUMMYFUNCTION("""COMPUTED_VALUE"""),"Guild Member")</f>
        <v>Guild Member</v>
      </c>
      <c r="D10" s="4" t="str">
        <f>IFERROR(__xludf.DUMMYFUNCTION("""COMPUTED_VALUE"""),"A Burning Land")</f>
        <v>A Burning Land</v>
      </c>
      <c r="E10" s="4" t="str">
        <f>IFERROR(__xludf.DUMMYFUNCTION("""COMPUTED_VALUE"""),"Successfully set 3 nature like area on fire without getting arrested.")</f>
        <v>Successfully set 3 nature like area on fire without getting arrested.</v>
      </c>
      <c r="F10" s="4" t="str">
        <f>IFERROR(__xludf.DUMMYFUNCTION("""COMPUTED_VALUE"""),"10 Levels
10,000,000G")</f>
        <v>10 Levels
10,000,000G</v>
      </c>
      <c r="G10" s="4" t="str">
        <f>IFERROR(__xludf.DUMMYFUNCTION("""COMPUTED_VALUE"""),"1. Set 3 nature like area on fire without getting arrested.
2. Return to a guild hall to claim your rewards.")</f>
        <v>1. Set 3 nature like area on fire without getting arrested.
2. Return to a guild hall to claim your rewards.</v>
      </c>
      <c r="H10" s="4"/>
      <c r="I10" s="4"/>
      <c r="J10" s="4"/>
      <c r="K10" s="4"/>
      <c r="L10" s="4"/>
      <c r="M10" s="4"/>
      <c r="N10" s="4"/>
      <c r="O10" s="4"/>
      <c r="P10" s="4"/>
      <c r="Q10" s="4"/>
      <c r="R10" s="4"/>
      <c r="S10" s="4"/>
      <c r="T10" s="4"/>
      <c r="U10" s="4"/>
      <c r="V10" s="4"/>
      <c r="W10" s="4"/>
      <c r="X10" s="4"/>
      <c r="Y10" s="4"/>
      <c r="Z10" s="4"/>
    </row>
    <row r="11">
      <c r="A11" s="4" t="str">
        <f>IFERROR(__xludf.DUMMYFUNCTION("""COMPUTED_VALUE"""),"Port Fawn")</f>
        <v>Port Fawn</v>
      </c>
      <c r="B11" s="4" t="str">
        <f>IFERROR(__xludf.DUMMYFUNCTION("""COMPUTED_VALUE"""),"Thieves Guild")</f>
        <v>Thieves Guild</v>
      </c>
      <c r="C11" s="4" t="str">
        <f>IFERROR(__xludf.DUMMYFUNCTION("""COMPUTED_VALUE"""),"Guild Member")</f>
        <v>Guild Member</v>
      </c>
      <c r="D11" s="4" t="str">
        <f>IFERROR(__xludf.DUMMYFUNCTION("""COMPUTED_VALUE"""),"It's a Pirate's Life For Me!")</f>
        <v>It's a Pirate's Life For Me!</v>
      </c>
      <c r="E11" s="4" t="str">
        <f>IFERROR(__xludf.DUMMYFUNCTION("""COMPUTED_VALUE"""),"Successfully rob 6 ships either in or off the port of Port Fawn")</f>
        <v>Successfully rob 6 ships either in or off the port of Port Fawn</v>
      </c>
      <c r="F11" s="4" t="str">
        <f>IFERROR(__xludf.DUMMYFUNCTION("""COMPUTED_VALUE"""),"5 Levels
5,000,000")</f>
        <v>5 Levels
5,000,000</v>
      </c>
      <c r="G11" s="4" t="str">
        <f>IFERROR(__xludf.DUMMYFUNCTION("""COMPUTED_VALUE"""),"
1. Rob 6 Pirate or Merchant ships without getting arrested
2. Return to a guild hall to collect your rewards.")</f>
        <v>
1. Rob 6 Pirate or Merchant ships without getting arrested
2. Return to a guild hall to collect your rewards.</v>
      </c>
      <c r="H11" s="4"/>
      <c r="I11" s="4"/>
      <c r="J11" s="4"/>
      <c r="K11" s="4"/>
      <c r="L11" s="4"/>
      <c r="M11" s="4"/>
      <c r="N11" s="4"/>
      <c r="O11" s="4"/>
      <c r="P11" s="4"/>
      <c r="Q11" s="4"/>
      <c r="R11" s="4"/>
      <c r="S11" s="4"/>
      <c r="T11" s="4"/>
      <c r="U11" s="4"/>
      <c r="V11" s="4"/>
      <c r="W11" s="4"/>
      <c r="X11" s="4"/>
      <c r="Y11" s="4"/>
      <c r="Z11" s="4"/>
    </row>
    <row r="12">
      <c r="A12" s="4" t="str">
        <f>IFERROR(__xludf.DUMMYFUNCTION("""COMPUTED_VALUE"""),"Swampville")</f>
        <v>Swampville</v>
      </c>
      <c r="B12" s="4" t="str">
        <f>IFERROR(__xludf.DUMMYFUNCTION("""COMPUTED_VALUE"""),"Thieves Guild")</f>
        <v>Thieves Guild</v>
      </c>
      <c r="C12" s="4" t="str">
        <f>IFERROR(__xludf.DUMMYFUNCTION("""COMPUTED_VALUE"""),"Guild Member")</f>
        <v>Guild Member</v>
      </c>
      <c r="D12" s="4" t="str">
        <f>IFERROR(__xludf.DUMMYFUNCTION("""COMPUTED_VALUE"""),"Dirty Hands.")</f>
        <v>Dirty Hands.</v>
      </c>
      <c r="E12" s="4" t="str">
        <f>IFERROR(__xludf.DUMMYFUNCTION("""COMPUTED_VALUE"""),"Successfully murder 6 NPC's or Players.")</f>
        <v>Successfully murder 6 NPC's or Players.</v>
      </c>
      <c r="F12" s="4" t="str">
        <f>IFERROR(__xludf.DUMMYFUNCTION("""COMPUTED_VALUE"""),"10 levels
10,000,000 G")</f>
        <v>10 levels
10,000,000 G</v>
      </c>
      <c r="G12" s="4" t="str">
        <f>IFERROR(__xludf.DUMMYFUNCTION("""COMPUTED_VALUE"""),"1. Receive the assassination target from the nearest guild hall
2. Carry out the assassination without being arrested (bonus if you make it look like an accident)
3. report back to your nearest guild hall with proof of death")</f>
        <v>1. Receive the assassination target from the nearest guild hall
2. Carry out the assassination without being arrested (bonus if you make it look like an accident)
3. report back to your nearest guild hall with proof of death</v>
      </c>
      <c r="H12" s="4"/>
      <c r="I12" s="4"/>
      <c r="J12" s="4"/>
      <c r="K12" s="4"/>
      <c r="L12" s="4"/>
      <c r="M12" s="4"/>
      <c r="N12" s="4"/>
      <c r="O12" s="4"/>
      <c r="P12" s="4"/>
      <c r="Q12" s="4"/>
      <c r="R12" s="4"/>
      <c r="S12" s="4"/>
      <c r="T12" s="4"/>
      <c r="U12" s="4"/>
      <c r="V12" s="4"/>
      <c r="W12" s="4"/>
      <c r="X12" s="4"/>
      <c r="Y12" s="4"/>
      <c r="Z12" s="4"/>
    </row>
    <row r="13">
      <c r="A13" s="4" t="str">
        <f>IFERROR(__xludf.DUMMYFUNCTION("""COMPUTED_VALUE"""),"Swampville")</f>
        <v>Swampville</v>
      </c>
      <c r="B13" s="4" t="str">
        <f>IFERROR(__xludf.DUMMYFUNCTION("""COMPUTED_VALUE"""),"The Cult of Spira Guild")</f>
        <v>The Cult of Spira Guild</v>
      </c>
      <c r="C13" s="4" t="str">
        <f>IFERROR(__xludf.DUMMYFUNCTION("""COMPUTED_VALUE"""),"Guild Member")</f>
        <v>Guild Member</v>
      </c>
      <c r="D13" s="4" t="str">
        <f>IFERROR(__xludf.DUMMYFUNCTION("""COMPUTED_VALUE"""),"Dirty Hands.")</f>
        <v>Dirty Hands.</v>
      </c>
      <c r="E13" s="4" t="str">
        <f>IFERROR(__xludf.DUMMYFUNCTION("""COMPUTED_VALUE"""),"Successfully murder 6 NPC's or Players.")</f>
        <v>Successfully murder 6 NPC's or Players.</v>
      </c>
      <c r="F13" s="4" t="str">
        <f>IFERROR(__xludf.DUMMYFUNCTION("""COMPUTED_VALUE"""),"10 levels
10,000,000 G")</f>
        <v>10 levels
10,000,000 G</v>
      </c>
      <c r="G13" s="4" t="str">
        <f>IFERROR(__xludf.DUMMYFUNCTION("""COMPUTED_VALUE"""),"1. Receive the assassination target from the nearest guild hall
2. Carry out the assassination without being arrested make sure to leave the mark of the cult
3. report back to your nearest guild hall with proof of death")</f>
        <v>1. Receive the assassination target from the nearest guild hall
2. Carry out the assassination without being arrested make sure to leave the mark of the cult
3. report back to your nearest guild hall with proof of death</v>
      </c>
      <c r="H13" s="4"/>
      <c r="I13" s="4"/>
      <c r="J13" s="4"/>
      <c r="K13" s="4"/>
      <c r="L13" s="4"/>
      <c r="M13" s="4"/>
      <c r="N13" s="4"/>
      <c r="O13" s="4"/>
      <c r="P13" s="4"/>
      <c r="Q13" s="4"/>
      <c r="R13" s="4"/>
      <c r="S13" s="4"/>
      <c r="T13" s="4"/>
      <c r="U13" s="4"/>
      <c r="V13" s="4"/>
      <c r="W13" s="4"/>
      <c r="X13" s="4"/>
      <c r="Y13" s="4"/>
      <c r="Z13" s="4"/>
    </row>
    <row r="14">
      <c r="A14" s="4" t="str">
        <f>IFERROR(__xludf.DUMMYFUNCTION("""COMPUTED_VALUE"""),"The Red Sands")</f>
        <v>The Red Sands</v>
      </c>
      <c r="B14" s="4" t="str">
        <f>IFERROR(__xludf.DUMMYFUNCTION("""COMPUTED_VALUE"""),"Thieves Guild")</f>
        <v>Thieves Guild</v>
      </c>
      <c r="C14" s="4" t="str">
        <f>IFERROR(__xludf.DUMMYFUNCTION("""COMPUTED_VALUE"""),"Guild Member")</f>
        <v>Guild Member</v>
      </c>
      <c r="D14" s="4" t="str">
        <f>IFERROR(__xludf.DUMMYFUNCTION("""COMPUTED_VALUE"""),"Defacing the Face of Spira")</f>
        <v>Defacing the Face of Spira</v>
      </c>
      <c r="E14" s="4" t="str">
        <f>IFERROR(__xludf.DUMMYFUNCTION("""COMPUTED_VALUE"""),"Successfully vandalize 3 areas owned by the Guards of Spira without being arrested")</f>
        <v>Successfully vandalize 3 areas owned by the Guards of Spira without being arrested</v>
      </c>
      <c r="F14" s="4" t="str">
        <f>IFERROR(__xludf.DUMMYFUNCTION("""COMPUTED_VALUE"""),"10 levels
10,000,000 G")</f>
        <v>10 levels
10,000,000 G</v>
      </c>
      <c r="G14" s="4" t="str">
        <f>IFERROR(__xludf.DUMMYFUNCTION("""COMPUTED_VALUE"""),"
1. Deface 3 areas owned by the Guards of Spira, or the palace if you're feeling lucky, without being arrested
2. report back to the nearest guild hall")</f>
        <v>
1. Deface 3 areas owned by the Guards of Spira, or the palace if you're feeling lucky, without being arrested
2. report back to the nearest guild hall</v>
      </c>
      <c r="H14" s="4"/>
      <c r="I14" s="4"/>
      <c r="J14" s="4"/>
      <c r="K14" s="4"/>
      <c r="L14" s="4"/>
      <c r="M14" s="4"/>
      <c r="N14" s="4"/>
      <c r="O14" s="4"/>
      <c r="P14" s="4"/>
      <c r="Q14" s="4"/>
      <c r="R14" s="4"/>
      <c r="S14" s="4"/>
      <c r="T14" s="4"/>
      <c r="U14" s="4"/>
      <c r="V14" s="4"/>
      <c r="W14" s="4"/>
      <c r="X14" s="4"/>
      <c r="Y14" s="4"/>
      <c r="Z14" s="4"/>
    </row>
    <row r="15">
      <c r="A15" s="4" t="str">
        <f>IFERROR(__xludf.DUMMYFUNCTION("""COMPUTED_VALUE"""),"Forest View")</f>
        <v>Forest View</v>
      </c>
      <c r="B15" s="4" t="str">
        <f>IFERROR(__xludf.DUMMYFUNCTION("""COMPUTED_VALUE"""),"Royal Knights of Spira Guild")</f>
        <v>Royal Knights of Spira Guild</v>
      </c>
      <c r="C15" s="4" t="str">
        <f>IFERROR(__xludf.DUMMYFUNCTION("""COMPUTED_VALUE"""),"Guild Member")</f>
        <v>Guild Member</v>
      </c>
      <c r="D15" s="4" t="str">
        <f>IFERROR(__xludf.DUMMYFUNCTION("""COMPUTED_VALUE"""),"Halt! You've Violated the Law")</f>
        <v>Halt! You've Violated the Law</v>
      </c>
      <c r="E15" s="4" t="str">
        <f>IFERROR(__xludf.DUMMYFUNCTION("""COMPUTED_VALUE"""),"Successfully arrest and turn in 3 corrupt guards without them getting away")</f>
        <v>Successfully arrest and turn in 3 corrupt guards without them getting away</v>
      </c>
      <c r="F15" s="4" t="str">
        <f>IFERROR(__xludf.DUMMYFUNCTION("""COMPUTED_VALUE"""),"10 - 30 levels depending on rank
10,000,000 - 30,000,000 G depending on rank")</f>
        <v>10 - 30 levels depending on rank
10,000,000 - 30,000,000 G depending on rank</v>
      </c>
      <c r="G15" s="4" t="str">
        <f>IFERROR(__xludf.DUMMYFUNCTION("""COMPUTED_VALUE"""),"1. Engage the corrupt gurads in battle and arrest them without allowing them a chance to flee
2. Bring them to the court to face their crimes
3. Report to the nearest guild hall to receive your rewards")</f>
        <v>1. Engage the corrupt gurads in battle and arrest them without allowing them a chance to flee
2. Bring them to the court to face their crimes
3. Report to the nearest guild hall to receive your rewards</v>
      </c>
      <c r="H15" s="4"/>
      <c r="I15" s="4"/>
      <c r="J15" s="4"/>
      <c r="K15" s="4"/>
      <c r="L15" s="4"/>
      <c r="M15" s="4"/>
      <c r="N15" s="4"/>
      <c r="O15" s="4"/>
      <c r="P15" s="4"/>
      <c r="Q15" s="4"/>
      <c r="R15" s="4"/>
      <c r="S15" s="4"/>
      <c r="T15" s="4"/>
      <c r="U15" s="4"/>
      <c r="V15" s="4"/>
      <c r="W15" s="4"/>
      <c r="X15" s="4"/>
      <c r="Y15" s="4"/>
      <c r="Z15" s="4"/>
    </row>
    <row r="16">
      <c r="A16" s="4" t="str">
        <f>IFERROR(__xludf.DUMMYFUNCTION("""COMPUTED_VALUE"""),"WildWood")</f>
        <v>WildWood</v>
      </c>
      <c r="B16" s="4" t="str">
        <f>IFERROR(__xludf.DUMMYFUNCTION("""COMPUTED_VALUE"""),"Beast Masters Guild")</f>
        <v>Beast Masters Guild</v>
      </c>
      <c r="C16" s="4" t="str">
        <f>IFERROR(__xludf.DUMMYFUNCTION("""COMPUTED_VALUE"""),"Guild Member")</f>
        <v>Guild Member</v>
      </c>
      <c r="D16" s="4" t="str">
        <f>IFERROR(__xludf.DUMMYFUNCTION("""COMPUTED_VALUE"""),"Animal Friend")</f>
        <v>Animal Friend</v>
      </c>
      <c r="E16" s="4" t="str">
        <f>IFERROR(__xludf.DUMMYFUNCTION("""COMPUTED_VALUE"""),"Successfully Tame 3 Creatures")</f>
        <v>Successfully Tame 3 Creatures</v>
      </c>
      <c r="F16" s="4" t="str">
        <f>IFERROR(__xludf.DUMMYFUNCTION("""COMPUTED_VALUE"""),"10 Levels
10,000,000 G")</f>
        <v>10 Levels
10,000,000 G</v>
      </c>
      <c r="G16" s="4" t="str">
        <f>IFERROR(__xludf.DUMMYFUNCTION("""COMPUTED_VALUE"""),"1. Tame 3 Different Creatures
2. Report Back to the Guild hall to claim your rewards.")</f>
        <v>1. Tame 3 Different Creatures
2. Report Back to the Guild hall to claim your rewards.</v>
      </c>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IFERROR(__xludf.DUMMYFUNCTION("IMPORTRANGE(""https://docs.google.com/spreadsheets/d/""&amp;Config!$B$1,""Curses!A:AX"")"),"Name")</f>
        <v>Name</v>
      </c>
      <c r="B1" s="4" t="str">
        <f>IFERROR(__xludf.DUMMYFUNCTION("""COMPUTED_VALUE"""),"Description")</f>
        <v>Description</v>
      </c>
      <c r="C1" s="4" t="str">
        <f>IFERROR(__xludf.DUMMYFUNCTION("""COMPUTED_VALUE"""),"Permanent")</f>
        <v>Permanent</v>
      </c>
      <c r="D1" s="4" t="str">
        <f>IFERROR(__xludf.DUMMYFUNCTION("""COMPUTED_VALUE"""),"SemiPermanent ")</f>
        <v>SemiPermanent </v>
      </c>
      <c r="E1" s="4" t="str">
        <f>IFERROR(__xludf.DUMMYFUNCTION("""COMPUTED_VALUE"""),"Temp")</f>
        <v>Temp</v>
      </c>
      <c r="F1" s="4" t="str">
        <f>IFERROR(__xludf.DUMMYFUNCTION("""COMPUTED_VALUE"""),"Days of Effect")</f>
        <v>Days of Effect</v>
      </c>
      <c r="G1" s="4" t="str">
        <f>IFERROR(__xludf.DUMMYFUNCTION("""COMPUTED_VALUE"""),"Cure")</f>
        <v>Cure</v>
      </c>
      <c r="H1" s="4"/>
      <c r="I1" s="4"/>
      <c r="J1" s="4"/>
      <c r="K1" s="4"/>
      <c r="L1" s="4"/>
      <c r="M1" s="4"/>
      <c r="N1" s="4"/>
      <c r="O1" s="4"/>
      <c r="P1" s="4"/>
      <c r="Q1" s="4"/>
      <c r="R1" s="4"/>
      <c r="S1" s="4"/>
      <c r="T1" s="4"/>
      <c r="U1" s="4"/>
      <c r="V1" s="4"/>
      <c r="W1" s="4"/>
      <c r="X1" s="4"/>
    </row>
    <row r="2">
      <c r="A2" s="4" t="str">
        <f>IFERROR(__xludf.DUMMYFUNCTION("""COMPUTED_VALUE"""),"The Greed in Me")</f>
        <v>The Greed in Me</v>
      </c>
      <c r="B2" s="4" t="str">
        <f>IFERROR(__xludf.DUMMYFUNCTION("""COMPUTED_VALUE"""),"Half the ammount of gilders you recieve for 5 days of travel. ")</f>
        <v>Half the ammount of gilders you recieve for 5 days of travel. </v>
      </c>
      <c r="C2" s="4" t="b">
        <f>IFERROR(__xludf.DUMMYFUNCTION("""COMPUTED_VALUE"""),FALSE)</f>
        <v>0</v>
      </c>
      <c r="D2" s="4" t="b">
        <f>IFERROR(__xludf.DUMMYFUNCTION("""COMPUTED_VALUE"""),FALSE)</f>
        <v>0</v>
      </c>
      <c r="E2" s="4" t="b">
        <f>IFERROR(__xludf.DUMMYFUNCTION("""COMPUTED_VALUE"""),TRUE)</f>
        <v>1</v>
      </c>
      <c r="F2" s="4">
        <f>IFERROR(__xludf.DUMMYFUNCTION("""COMPUTED_VALUE"""),5.0)</f>
        <v>5</v>
      </c>
      <c r="G2" s="4" t="str">
        <f>IFERROR(__xludf.DUMMYFUNCTION("""COMPUTED_VALUE"""),"Traveling/Curse Antidote")</f>
        <v>Traveling/Curse Antidote</v>
      </c>
      <c r="H2" s="4"/>
      <c r="I2" s="4"/>
      <c r="J2" s="4"/>
      <c r="K2" s="4"/>
      <c r="L2" s="4"/>
      <c r="M2" s="4"/>
      <c r="N2" s="4"/>
      <c r="O2" s="4"/>
      <c r="P2" s="4"/>
      <c r="Q2" s="4"/>
      <c r="R2" s="4"/>
      <c r="S2" s="4"/>
      <c r="T2" s="4"/>
      <c r="U2" s="4"/>
      <c r="V2" s="4"/>
      <c r="W2" s="4"/>
      <c r="X2" s="4"/>
    </row>
    <row r="3">
      <c r="A3" s="4" t="str">
        <f>IFERROR(__xludf.DUMMYFUNCTION("""COMPUTED_VALUE"""),"Roll of The Odds")</f>
        <v>Roll of The Odds</v>
      </c>
      <c r="B3" s="4" t="str">
        <f>IFERROR(__xludf.DUMMYFUNCTION("""COMPUTED_VALUE"""),"if you roll an even number on a d20 it becomes the next lowest odd number for 50 days of travel.")</f>
        <v>if you roll an even number on a d20 it becomes the next lowest odd number for 50 days of travel.</v>
      </c>
      <c r="C3" s="4" t="b">
        <f>IFERROR(__xludf.DUMMYFUNCTION("""COMPUTED_VALUE"""),FALSE)</f>
        <v>0</v>
      </c>
      <c r="D3" s="4" t="b">
        <f>IFERROR(__xludf.DUMMYFUNCTION("""COMPUTED_VALUE"""),FALSE)</f>
        <v>0</v>
      </c>
      <c r="E3" s="4" t="b">
        <f>IFERROR(__xludf.DUMMYFUNCTION("""COMPUTED_VALUE"""),TRUE)</f>
        <v>1</v>
      </c>
      <c r="F3" s="4">
        <f>IFERROR(__xludf.DUMMYFUNCTION("""COMPUTED_VALUE"""),50.0)</f>
        <v>50</v>
      </c>
      <c r="G3" s="4" t="str">
        <f>IFERROR(__xludf.DUMMYFUNCTION("""COMPUTED_VALUE"""),"Traveling/Curse Antidote")</f>
        <v>Traveling/Curse Antidote</v>
      </c>
      <c r="H3" s="4"/>
      <c r="I3" s="4"/>
      <c r="J3" s="4"/>
      <c r="K3" s="4"/>
      <c r="L3" s="4"/>
      <c r="M3" s="4"/>
      <c r="N3" s="4"/>
      <c r="O3" s="4"/>
      <c r="P3" s="4"/>
      <c r="Q3" s="4"/>
      <c r="R3" s="4"/>
      <c r="S3" s="4"/>
      <c r="T3" s="4"/>
      <c r="U3" s="4"/>
      <c r="V3" s="4"/>
      <c r="W3" s="4"/>
      <c r="X3" s="4"/>
    </row>
    <row r="4">
      <c r="A4" s="4" t="str">
        <f>IFERROR(__xludf.DUMMYFUNCTION("""COMPUTED_VALUE"""),"Dying Hunger")</f>
        <v>Dying Hunger</v>
      </c>
      <c r="B4" s="4" t="str">
        <f>IFERROR(__xludf.DUMMYFUNCTION("""COMPUTED_VALUE"""),"Deduct an additional 100 from hunger thirst and energy for 20 days of travel.")</f>
        <v>Deduct an additional 100 from hunger thirst and energy for 20 days of travel.</v>
      </c>
      <c r="C4" s="4" t="b">
        <f>IFERROR(__xludf.DUMMYFUNCTION("""COMPUTED_VALUE"""),FALSE)</f>
        <v>0</v>
      </c>
      <c r="D4" s="4" t="b">
        <f>IFERROR(__xludf.DUMMYFUNCTION("""COMPUTED_VALUE"""),FALSE)</f>
        <v>0</v>
      </c>
      <c r="E4" s="4" t="b">
        <f>IFERROR(__xludf.DUMMYFUNCTION("""COMPUTED_VALUE"""),FALSE)</f>
        <v>0</v>
      </c>
      <c r="F4" s="4">
        <f>IFERROR(__xludf.DUMMYFUNCTION("""COMPUTED_VALUE"""),20.0)</f>
        <v>20</v>
      </c>
      <c r="G4" s="4" t="str">
        <f>IFERROR(__xludf.DUMMYFUNCTION("""COMPUTED_VALUE"""),"Traveling/Curse Antidote")</f>
        <v>Traveling/Curse Antidote</v>
      </c>
      <c r="H4" s="4"/>
      <c r="I4" s="4"/>
      <c r="J4" s="4"/>
      <c r="K4" s="4"/>
      <c r="L4" s="4"/>
      <c r="M4" s="4"/>
      <c r="N4" s="4"/>
      <c r="O4" s="4"/>
      <c r="P4" s="4"/>
      <c r="Q4" s="4"/>
      <c r="R4" s="4"/>
      <c r="S4" s="4"/>
      <c r="T4" s="4"/>
      <c r="U4" s="4"/>
      <c r="V4" s="4"/>
      <c r="W4" s="4"/>
      <c r="X4" s="4"/>
    </row>
    <row r="5">
      <c r="A5" s="4" t="str">
        <f>IFERROR(__xludf.DUMMYFUNCTION("""COMPUTED_VALUE"""),"Guards Curse")</f>
        <v>Guards Curse</v>
      </c>
      <c r="B5" s="4" t="str">
        <f>IFERROR(__xludf.DUMMYFUNCTION("""COMPUTED_VALUE"""),"Anytime you enter an area with guards they will have a 50% chance to engage you in battle.")</f>
        <v>Anytime you enter an area with guards they will have a 50% chance to engage you in battle.</v>
      </c>
      <c r="C5" s="4" t="b">
        <f>IFERROR(__xludf.DUMMYFUNCTION("""COMPUTED_VALUE"""),FALSE)</f>
        <v>0</v>
      </c>
      <c r="D5" s="4" t="b">
        <f>IFERROR(__xludf.DUMMYFUNCTION("""COMPUTED_VALUE"""),TRUE)</f>
        <v>1</v>
      </c>
      <c r="E5" s="4" t="b">
        <f>IFERROR(__xludf.DUMMYFUNCTION("""COMPUTED_VALUE"""),FALSE)</f>
        <v>0</v>
      </c>
      <c r="F5" s="4">
        <f>IFERROR(__xludf.DUMMYFUNCTION("""COMPUTED_VALUE"""),0.0)</f>
        <v>0</v>
      </c>
      <c r="G5" s="4" t="str">
        <f>IFERROR(__xludf.DUMMYFUNCTION("""COMPUTED_VALUE"""),"Curse Antidote")</f>
        <v>Curse Antidote</v>
      </c>
      <c r="H5" s="4"/>
      <c r="I5" s="4"/>
      <c r="J5" s="4"/>
      <c r="K5" s="4"/>
      <c r="L5" s="4"/>
      <c r="M5" s="4"/>
      <c r="N5" s="4"/>
      <c r="O5" s="4"/>
      <c r="P5" s="4"/>
      <c r="Q5" s="4"/>
      <c r="R5" s="4"/>
      <c r="S5" s="4"/>
      <c r="T5" s="4"/>
      <c r="U5" s="4"/>
      <c r="V5" s="4"/>
      <c r="W5" s="4"/>
      <c r="X5" s="4"/>
    </row>
    <row r="6">
      <c r="A6" s="4" t="str">
        <f>IFERROR(__xludf.DUMMYFUNCTION("""COMPUTED_VALUE"""),"Curse of The World Tree")</f>
        <v>Curse of The World Tree</v>
      </c>
      <c r="B6" s="4" t="str">
        <f>IFERROR(__xludf.DUMMYFUNCTION("""COMPUTED_VALUE"""),"Prevents you from going to the world tree for 100 days of travel.")</f>
        <v>Prevents you from going to the world tree for 100 days of travel.</v>
      </c>
      <c r="C6" s="4" t="b">
        <f>IFERROR(__xludf.DUMMYFUNCTION("""COMPUTED_VALUE"""),FALSE)</f>
        <v>0</v>
      </c>
      <c r="D6" s="4" t="b">
        <f>IFERROR(__xludf.DUMMYFUNCTION("""COMPUTED_VALUE"""),FALSE)</f>
        <v>0</v>
      </c>
      <c r="E6" s="4" t="b">
        <f>IFERROR(__xludf.DUMMYFUNCTION("""COMPUTED_VALUE"""),TRUE)</f>
        <v>1</v>
      </c>
      <c r="F6" s="4">
        <f>IFERROR(__xludf.DUMMYFUNCTION("""COMPUTED_VALUE"""),100.0)</f>
        <v>100</v>
      </c>
      <c r="G6" s="4" t="str">
        <f>IFERROR(__xludf.DUMMYFUNCTION("""COMPUTED_VALUE"""),"Traveling/Curse Antidote")</f>
        <v>Traveling/Curse Antidote</v>
      </c>
      <c r="H6" s="4"/>
      <c r="I6" s="4"/>
      <c r="J6" s="4"/>
      <c r="K6" s="4"/>
      <c r="L6" s="4"/>
      <c r="M6" s="4"/>
      <c r="N6" s="4"/>
      <c r="O6" s="4"/>
      <c r="P6" s="4"/>
      <c r="Q6" s="4"/>
      <c r="R6" s="4"/>
      <c r="S6" s="4"/>
      <c r="T6" s="4"/>
      <c r="U6" s="4"/>
      <c r="V6" s="4"/>
      <c r="W6" s="4"/>
      <c r="X6" s="4"/>
    </row>
    <row r="7">
      <c r="A7" s="4" t="str">
        <f>IFERROR(__xludf.DUMMYFUNCTION("""COMPUTED_VALUE"""),"Curse of Dying")</f>
        <v>Curse of Dying</v>
      </c>
      <c r="B7" s="4" t="str">
        <f>IFERROR(__xludf.DUMMYFUNCTION("""COMPUTED_VALUE"""),"You permananently die after 100 days of travel.")</f>
        <v>You permananently die after 100 days of travel.</v>
      </c>
      <c r="C7" s="4" t="b">
        <f>IFERROR(__xludf.DUMMYFUNCTION("""COMPUTED_VALUE"""),TRUE)</f>
        <v>1</v>
      </c>
      <c r="D7" s="4" t="b">
        <f>IFERROR(__xludf.DUMMYFUNCTION("""COMPUTED_VALUE"""),FALSE)</f>
        <v>0</v>
      </c>
      <c r="E7" s="4" t="b">
        <f>IFERROR(__xludf.DUMMYFUNCTION("""COMPUTED_VALUE"""),FALSE)</f>
        <v>0</v>
      </c>
      <c r="F7" s="4">
        <f>IFERROR(__xludf.DUMMYFUNCTION("""COMPUTED_VALUE"""),100.0)</f>
        <v>100</v>
      </c>
      <c r="G7" s="4" t="str">
        <f>IFERROR(__xludf.DUMMYFUNCTION("""COMPUTED_VALUE"""),"None")</f>
        <v>None</v>
      </c>
      <c r="H7" s="4"/>
      <c r="I7" s="4"/>
      <c r="J7" s="4"/>
      <c r="K7" s="4"/>
      <c r="L7" s="4"/>
      <c r="M7" s="4"/>
      <c r="N7" s="4"/>
      <c r="O7" s="4"/>
      <c r="P7" s="4"/>
      <c r="Q7" s="4"/>
      <c r="R7" s="4"/>
      <c r="S7" s="4"/>
      <c r="T7" s="4"/>
      <c r="U7" s="4"/>
      <c r="V7" s="4"/>
      <c r="W7" s="4"/>
      <c r="X7" s="4"/>
    </row>
    <row r="8">
      <c r="A8" s="4" t="str">
        <f>IFERROR(__xludf.DUMMYFUNCTION("""COMPUTED_VALUE"""),"Curse of The Samurai")</f>
        <v>Curse of The Samurai</v>
      </c>
      <c r="B8" s="4" t="str">
        <f>IFERROR(__xludf.DUMMYFUNCTION("""COMPUTED_VALUE"""),"Binds the target to the area they are in making it so they cannot leave it.")</f>
        <v>Binds the target to the area they are in making it so they cannot leave it.</v>
      </c>
      <c r="C8" s="4" t="b">
        <f>IFERROR(__xludf.DUMMYFUNCTION("""COMPUTED_VALUE"""),FALSE)</f>
        <v>0</v>
      </c>
      <c r="D8" s="4" t="b">
        <f>IFERROR(__xludf.DUMMYFUNCTION("""COMPUTED_VALUE"""),TRUE)</f>
        <v>1</v>
      </c>
      <c r="E8" s="4" t="b">
        <f>IFERROR(__xludf.DUMMYFUNCTION("""COMPUTED_VALUE"""),FALSE)</f>
        <v>0</v>
      </c>
      <c r="F8" s="4">
        <f>IFERROR(__xludf.DUMMYFUNCTION("""COMPUTED_VALUE"""),0.0)</f>
        <v>0</v>
      </c>
      <c r="G8" s="4" t="str">
        <f>IFERROR(__xludf.DUMMYFUNCTION("""COMPUTED_VALUE"""),"Curse Antidote")</f>
        <v>Curse Antidote</v>
      </c>
      <c r="H8" s="4"/>
      <c r="I8" s="4"/>
      <c r="J8" s="4"/>
      <c r="K8" s="4"/>
      <c r="L8" s="4"/>
      <c r="M8" s="4"/>
      <c r="N8" s="4"/>
      <c r="O8" s="4"/>
      <c r="P8" s="4"/>
      <c r="Q8" s="4"/>
      <c r="R8" s="4"/>
      <c r="S8" s="4"/>
      <c r="T8" s="4"/>
      <c r="U8" s="4"/>
      <c r="V8" s="4"/>
      <c r="W8" s="4"/>
      <c r="X8" s="4"/>
    </row>
    <row r="9">
      <c r="A9" s="4" t="str">
        <f>IFERROR(__xludf.DUMMYFUNCTION("""COMPUTED_VALUE"""),"Curse of Heatmore")</f>
        <v>Curse of Heatmore</v>
      </c>
      <c r="B9" s="4" t="str">
        <f>IFERROR(__xludf.DUMMYFUNCTION("""COMPUTED_VALUE"""),"Players affected by this curse will take 500 fire damage p/r every battle they are in. Cannot resist or be immune to.")</f>
        <v>Players affected by this curse will take 500 fire damage p/r every battle they are in. Cannot resist or be immune to.</v>
      </c>
      <c r="C9" s="4" t="b">
        <f>IFERROR(__xludf.DUMMYFUNCTION("""COMPUTED_VALUE"""),FALSE)</f>
        <v>0</v>
      </c>
      <c r="D9" s="4" t="b">
        <f>IFERROR(__xludf.DUMMYFUNCTION("""COMPUTED_VALUE"""),TRUE)</f>
        <v>1</v>
      </c>
      <c r="E9" s="4" t="b">
        <f>IFERROR(__xludf.DUMMYFUNCTION("""COMPUTED_VALUE"""),FALSE)</f>
        <v>0</v>
      </c>
      <c r="F9" s="4">
        <f>IFERROR(__xludf.DUMMYFUNCTION("""COMPUTED_VALUE"""),0.0)</f>
        <v>0</v>
      </c>
      <c r="G9" s="4" t="str">
        <f>IFERROR(__xludf.DUMMYFUNCTION("""COMPUTED_VALUE"""),"Curse Antidote")</f>
        <v>Curse Antidote</v>
      </c>
      <c r="H9" s="4"/>
      <c r="I9" s="4"/>
      <c r="J9" s="4"/>
      <c r="K9" s="4"/>
      <c r="L9" s="4"/>
      <c r="M9" s="4"/>
      <c r="N9" s="4"/>
      <c r="O9" s="4"/>
      <c r="P9" s="4"/>
      <c r="Q9" s="4"/>
      <c r="R9" s="4"/>
      <c r="S9" s="4"/>
      <c r="T9" s="4"/>
      <c r="U9" s="4"/>
      <c r="V9" s="4"/>
      <c r="W9" s="4"/>
      <c r="X9" s="4"/>
    </row>
    <row r="10">
      <c r="A10" s="4" t="str">
        <f>IFERROR(__xludf.DUMMYFUNCTION("""COMPUTED_VALUE"""),"Frozen Curse")</f>
        <v>Frozen Curse</v>
      </c>
      <c r="B10" s="4" t="str">
        <f>IFERROR(__xludf.DUMMYFUNCTION("""COMPUTED_VALUE"""),"A curse that is said to freeze you permanantly if you step on the wrong path of ice, Causes permanant death.")</f>
        <v>A curse that is said to freeze you permanantly if you step on the wrong path of ice, Causes permanant death.</v>
      </c>
      <c r="C10" s="4" t="b">
        <f>IFERROR(__xludf.DUMMYFUNCTION("""COMPUTED_VALUE"""),TRUE)</f>
        <v>1</v>
      </c>
      <c r="D10" s="4" t="b">
        <f>IFERROR(__xludf.DUMMYFUNCTION("""COMPUTED_VALUE"""),FALSE)</f>
        <v>0</v>
      </c>
      <c r="E10" s="4" t="b">
        <f>IFERROR(__xludf.DUMMYFUNCTION("""COMPUTED_VALUE"""),FALSE)</f>
        <v>0</v>
      </c>
      <c r="F10" s="4">
        <f>IFERROR(__xludf.DUMMYFUNCTION("""COMPUTED_VALUE"""),0.0)</f>
        <v>0</v>
      </c>
      <c r="G10" s="4" t="str">
        <f>IFERROR(__xludf.DUMMYFUNCTION("""COMPUTED_VALUE"""),"None")</f>
        <v>None</v>
      </c>
      <c r="H10" s="4"/>
      <c r="I10" s="4"/>
      <c r="J10" s="4"/>
      <c r="K10" s="4"/>
      <c r="L10" s="4"/>
      <c r="M10" s="4"/>
      <c r="N10" s="4"/>
      <c r="O10" s="4"/>
      <c r="P10" s="4"/>
      <c r="Q10" s="4"/>
      <c r="R10" s="4"/>
      <c r="S10" s="4"/>
      <c r="T10" s="4"/>
      <c r="U10" s="4"/>
      <c r="V10" s="4"/>
      <c r="W10" s="4"/>
      <c r="X10" s="4"/>
    </row>
    <row r="11">
      <c r="A11" s="4" t="str">
        <f>IFERROR(__xludf.DUMMYFUNCTION("""COMPUTED_VALUE"""),"Curse of Greed")</f>
        <v>Curse of Greed</v>
      </c>
      <c r="B11" s="4" t="str">
        <f>IFERROR(__xludf.DUMMYFUNCTION("""COMPUTED_VALUE"""),"All shop prices and town services will cost 75% more, You will lose 75% of the gilders rewarded to you from quests and loot drops.")</f>
        <v>All shop prices and town services will cost 75% more, You will lose 75% of the gilders rewarded to you from quests and loot drops.</v>
      </c>
      <c r="C11" s="4" t="b">
        <f>IFERROR(__xludf.DUMMYFUNCTION("""COMPUTED_VALUE"""),TRUE)</f>
        <v>1</v>
      </c>
      <c r="D11" s="4" t="b">
        <f>IFERROR(__xludf.DUMMYFUNCTION("""COMPUTED_VALUE"""),FALSE)</f>
        <v>0</v>
      </c>
      <c r="E11" s="4" t="b">
        <f>IFERROR(__xludf.DUMMYFUNCTION("""COMPUTED_VALUE"""),FALSE)</f>
        <v>0</v>
      </c>
      <c r="F11" s="4">
        <f>IFERROR(__xludf.DUMMYFUNCTION("""COMPUTED_VALUE"""),0.0)</f>
        <v>0</v>
      </c>
      <c r="G11" s="4" t="str">
        <f>IFERROR(__xludf.DUMMYFUNCTION("""COMPUTED_VALUE"""),"None")</f>
        <v>None</v>
      </c>
      <c r="H11" s="4"/>
      <c r="I11" s="4"/>
      <c r="J11" s="4"/>
      <c r="K11" s="4"/>
      <c r="L11" s="4"/>
      <c r="M11" s="4"/>
      <c r="N11" s="4"/>
      <c r="O11" s="4"/>
      <c r="P11" s="4"/>
      <c r="Q11" s="4"/>
      <c r="R11" s="4"/>
      <c r="S11" s="4"/>
      <c r="T11" s="4"/>
      <c r="U11" s="4"/>
      <c r="V11" s="4"/>
      <c r="W11" s="4"/>
      <c r="X11" s="4"/>
    </row>
    <row r="12">
      <c r="A12" s="4" t="str">
        <f>IFERROR(__xludf.DUMMYFUNCTION("""COMPUTED_VALUE"""),"Curse of The Ancestral Blood")</f>
        <v>Curse of The Ancestral Blood</v>
      </c>
      <c r="B12" s="4" t="str">
        <f>IFERROR(__xludf.DUMMYFUNCTION("""COMPUTED_VALUE"""),"The call of the cursed blade screams within your mind urging you to slice the throats of your comrades and enemies. 
At the start of your turn in battle you must roll 1d20 1-10 you enter a berserk state gaining Rampage 1 
11-20 you remain in control of y"&amp;"our character.")</f>
        <v>The call of the cursed blade screams within your mind urging you to slice the throats of your comrades and enemies. 
At the start of your turn in battle you must roll 1d20 1-10 you enter a berserk state gaining Rampage 1 
11-20 you remain in control of your character.</v>
      </c>
      <c r="C12" s="4" t="b">
        <f>IFERROR(__xludf.DUMMYFUNCTION("""COMPUTED_VALUE"""),FALSE)</f>
        <v>0</v>
      </c>
      <c r="D12" s="4" t="b">
        <f>IFERROR(__xludf.DUMMYFUNCTION("""COMPUTED_VALUE"""),TRUE)</f>
        <v>1</v>
      </c>
      <c r="E12" s="4" t="b">
        <f>IFERROR(__xludf.DUMMYFUNCTION("""COMPUTED_VALUE"""),FALSE)</f>
        <v>0</v>
      </c>
      <c r="F12" s="4">
        <f>IFERROR(__xludf.DUMMYFUNCTION("""COMPUTED_VALUE"""),0.0)</f>
        <v>0</v>
      </c>
      <c r="G12" s="4" t="str">
        <f>IFERROR(__xludf.DUMMYFUNCTION("""COMPUTED_VALUE"""),"Completeing the Quest: ""Cleansing the Blade Formed In Blood""")</f>
        <v>Completeing the Quest: "Cleansing the Blade Formed In Blood"</v>
      </c>
      <c r="H12" s="4"/>
      <c r="I12" s="4"/>
      <c r="J12" s="4"/>
      <c r="K12" s="4"/>
      <c r="L12" s="4"/>
      <c r="M12" s="4"/>
      <c r="N12" s="4"/>
      <c r="O12" s="4"/>
      <c r="P12" s="4"/>
      <c r="Q12" s="4"/>
      <c r="R12" s="4"/>
      <c r="S12" s="4"/>
      <c r="T12" s="4"/>
      <c r="U12" s="4"/>
      <c r="V12" s="4"/>
      <c r="W12" s="4"/>
      <c r="X12" s="4"/>
    </row>
    <row r="13">
      <c r="A13" s="4" t="str">
        <f>IFERROR(__xludf.DUMMYFUNCTION("""COMPUTED_VALUE"""),"Shadowbind Curse")</f>
        <v>Shadowbind Curse</v>
      </c>
      <c r="B13" s="4" t="str">
        <f>IFERROR(__xludf.DUMMYFUNCTION("""COMPUTED_VALUE"""),"Those afflicted by the Shadowbind Curse find that their shadows detach from them, taking on a life of their own. These shadow entities act independently, sometimes revealing secrets or even working against their host's intentions.
When affected by this c"&amp;"urse their will be a 25% chance during each battle a clone of your character will be created that will be allied with the enemies of the party.")</f>
        <v>Those afflicted by the Shadowbind Curse find that their shadows detach from them, taking on a life of their own. These shadow entities act independently, sometimes revealing secrets or even working against their host's intentions.
When affected by this curse their will be a 25% chance during each battle a clone of your character will be created that will be allied with the enemies of the party.</v>
      </c>
      <c r="C13" s="4" t="b">
        <f>IFERROR(__xludf.DUMMYFUNCTION("""COMPUTED_VALUE"""),FALSE)</f>
        <v>0</v>
      </c>
      <c r="D13" s="4" t="b">
        <f>IFERROR(__xludf.DUMMYFUNCTION("""COMPUTED_VALUE"""),TRUE)</f>
        <v>1</v>
      </c>
      <c r="E13" s="4" t="b">
        <f>IFERROR(__xludf.DUMMYFUNCTION("""COMPUTED_VALUE"""),FALSE)</f>
        <v>0</v>
      </c>
      <c r="F13" s="4">
        <f>IFERROR(__xludf.DUMMYFUNCTION("""COMPUTED_VALUE"""),0.0)</f>
        <v>0</v>
      </c>
      <c r="G13" s="4" t="str">
        <f>IFERROR(__xludf.DUMMYFUNCTION("""COMPUTED_VALUE"""),"Curse Antidote")</f>
        <v>Curse Antidote</v>
      </c>
      <c r="H13" s="4"/>
      <c r="I13" s="4"/>
      <c r="J13" s="4"/>
      <c r="K13" s="4"/>
      <c r="L13" s="4"/>
      <c r="M13" s="4"/>
      <c r="N13" s="4"/>
      <c r="O13" s="4"/>
      <c r="P13" s="4"/>
      <c r="Q13" s="4"/>
      <c r="R13" s="4"/>
      <c r="S13" s="4"/>
      <c r="T13" s="4"/>
      <c r="U13" s="4"/>
      <c r="V13" s="4"/>
      <c r="W13" s="4"/>
      <c r="X13" s="4"/>
    </row>
    <row r="14">
      <c r="A14" s="4" t="str">
        <f>IFERROR(__xludf.DUMMYFUNCTION("""COMPUTED_VALUE"""),"Eternal Eclipse")</f>
        <v>Eternal Eclipse</v>
      </c>
      <c r="B14" s="4" t="str">
        <f>IFERROR(__xludf.DUMMYFUNCTION("""COMPUTED_VALUE"""),"The cursed individual is shrouded in perpetual darkness, as if living under a never-ending solar eclipse. The absence of natural light hinders perception, making it difficult for the cursed to navigate or interact with the world.
When affected by this cu"&amp;"rse you will act under the effect of Blindness ∞")</f>
        <v>The cursed individual is shrouded in perpetual darkness, as if living under a never-ending solar eclipse. The absence of natural light hinders perception, making it difficult for the cursed to navigate or interact with the world.
When affected by this curse you will act under the effect of Blindness ∞</v>
      </c>
      <c r="C14" s="4" t="b">
        <f>IFERROR(__xludf.DUMMYFUNCTION("""COMPUTED_VALUE"""),FALSE)</f>
        <v>0</v>
      </c>
      <c r="D14" s="4" t="b">
        <f>IFERROR(__xludf.DUMMYFUNCTION("""COMPUTED_VALUE"""),TRUE)</f>
        <v>1</v>
      </c>
      <c r="E14" s="4" t="b">
        <f>IFERROR(__xludf.DUMMYFUNCTION("""COMPUTED_VALUE"""),FALSE)</f>
        <v>0</v>
      </c>
      <c r="F14" s="4">
        <f>IFERROR(__xludf.DUMMYFUNCTION("""COMPUTED_VALUE"""),0.0)</f>
        <v>0</v>
      </c>
      <c r="G14" s="4" t="str">
        <f>IFERROR(__xludf.DUMMYFUNCTION("""COMPUTED_VALUE"""),"Curse Antidote")</f>
        <v>Curse Antidote</v>
      </c>
      <c r="H14" s="4"/>
      <c r="I14" s="4"/>
      <c r="J14" s="4"/>
      <c r="K14" s="4"/>
      <c r="L14" s="4"/>
      <c r="M14" s="4"/>
      <c r="N14" s="4"/>
      <c r="O14" s="4"/>
      <c r="P14" s="4"/>
      <c r="Q14" s="4"/>
      <c r="R14" s="4"/>
      <c r="S14" s="4"/>
      <c r="T14" s="4"/>
      <c r="U14" s="4"/>
      <c r="V14" s="4"/>
      <c r="W14" s="4"/>
      <c r="X14" s="4"/>
    </row>
    <row r="15">
      <c r="A15" s="4" t="str">
        <f>IFERROR(__xludf.DUMMYFUNCTION("""COMPUTED_VALUE"""),"Mute Echo")</f>
        <v>Mute Echo</v>
      </c>
      <c r="B15" s="4" t="str">
        <f>IFERROR(__xludf.DUMMYFUNCTION("""COMPUTED_VALUE"""),"This curse steals the voice of its victim. Attempts to speak result in only faint echoes, making communication challenging. Breaking the curse may involve retrieving a stolen voice from a mysterious entity.
When affected by this curse you will deduct 10 "&amp;"from your d20 rolls.")</f>
        <v>This curse steals the voice of its victim. Attempts to speak result in only faint echoes, making communication challenging. Breaking the curse may involve retrieving a stolen voice from a mysterious entity.
When affected by this curse you will deduct 10 from your d20 rolls.</v>
      </c>
      <c r="C15" s="4" t="b">
        <f>IFERROR(__xludf.DUMMYFUNCTION("""COMPUTED_VALUE"""),FALSE)</f>
        <v>0</v>
      </c>
      <c r="D15" s="4" t="b">
        <f>IFERROR(__xludf.DUMMYFUNCTION("""COMPUTED_VALUE"""),TRUE)</f>
        <v>1</v>
      </c>
      <c r="E15" s="4" t="b">
        <f>IFERROR(__xludf.DUMMYFUNCTION("""COMPUTED_VALUE"""),FALSE)</f>
        <v>0</v>
      </c>
      <c r="F15" s="4">
        <f>IFERROR(__xludf.DUMMYFUNCTION("""COMPUTED_VALUE"""),0.0)</f>
        <v>0</v>
      </c>
      <c r="G15" s="4" t="str">
        <f>IFERROR(__xludf.DUMMYFUNCTION("""COMPUTED_VALUE"""),"A Quest")</f>
        <v>A Quest</v>
      </c>
      <c r="H15" s="4"/>
      <c r="I15" s="4"/>
      <c r="J15" s="4"/>
      <c r="K15" s="4"/>
      <c r="L15" s="4"/>
      <c r="M15" s="4"/>
      <c r="N15" s="4"/>
      <c r="O15" s="4"/>
      <c r="P15" s="4"/>
      <c r="Q15" s="4"/>
      <c r="R15" s="4"/>
      <c r="S15" s="4"/>
      <c r="T15" s="4"/>
      <c r="U15" s="4"/>
      <c r="V15" s="4"/>
      <c r="W15" s="4"/>
      <c r="X15" s="4"/>
    </row>
    <row r="16">
      <c r="A16" s="4" t="str">
        <f>IFERROR(__xludf.DUMMYFUNCTION("""COMPUTED_VALUE"""),"Iron Veins")</f>
        <v>Iron Veins</v>
      </c>
      <c r="B16" s="4" t="str">
        <f>IFERROR(__xludf.DUMMYFUNCTION("""COMPUTED_VALUE"""),"The cursed person's blood turns to molten iron, causing excruciating pain with every heartbeat. The metallic blood can be weaponized, but the curse prevents the afflicted from benefiting from this transformation.
Deal X2 additional damage but 1% of the d"&amp;"amage you deal is drained from your HP and SP.")</f>
        <v>The cursed person's blood turns to molten iron, causing excruciating pain with every heartbeat. The metallic blood can be weaponized, but the curse prevents the afflicted from benefiting from this transformation.
Deal X2 additional damage but 1% of the damage you deal is drained from your HP and SP.</v>
      </c>
      <c r="C16" s="4" t="b">
        <f>IFERROR(__xludf.DUMMYFUNCTION("""COMPUTED_VALUE"""),FALSE)</f>
        <v>0</v>
      </c>
      <c r="D16" s="4" t="b">
        <f>IFERROR(__xludf.DUMMYFUNCTION("""COMPUTED_VALUE"""),FALSE)</f>
        <v>0</v>
      </c>
      <c r="E16" s="4" t="b">
        <f>IFERROR(__xludf.DUMMYFUNCTION("""COMPUTED_VALUE"""),TRUE)</f>
        <v>1</v>
      </c>
      <c r="F16" s="4">
        <f>IFERROR(__xludf.DUMMYFUNCTION("""COMPUTED_VALUE"""),20.0)</f>
        <v>20</v>
      </c>
      <c r="G16" s="4" t="str">
        <f>IFERROR(__xludf.DUMMYFUNCTION("""COMPUTED_VALUE"""),"Traveling/Curse Antidote")</f>
        <v>Traveling/Curse Antidote</v>
      </c>
      <c r="H16" s="4"/>
      <c r="I16" s="4"/>
      <c r="J16" s="4"/>
      <c r="K16" s="4"/>
      <c r="L16" s="4"/>
      <c r="M16" s="4"/>
      <c r="N16" s="4"/>
      <c r="O16" s="4"/>
      <c r="P16" s="4"/>
      <c r="Q16" s="4"/>
      <c r="R16" s="4"/>
      <c r="S16" s="4"/>
      <c r="T16" s="4"/>
      <c r="U16" s="4"/>
      <c r="V16" s="4"/>
      <c r="W16" s="4"/>
      <c r="X16" s="4"/>
    </row>
    <row r="17">
      <c r="A17" s="4" t="str">
        <f>IFERROR(__xludf.DUMMYFUNCTION("""COMPUTED_VALUE"""),"Hollow Sight")</f>
        <v>Hollow Sight</v>
      </c>
      <c r="B17" s="4" t="str">
        <f>IFERROR(__xludf.DUMMYFUNCTION("""COMPUTED_VALUE"""),"Vision becomes distorted, and the cursed see the world as if through a shifting, ever-changing kaleidoscope. This curse makes navigation and combat extremely challenging, as reality becomes an unpredictable mosaic.
When affected by this curse you will ac"&amp;"t under the effect of Blindness ∞")</f>
        <v>Vision becomes distorted, and the cursed see the world as if through a shifting, ever-changing kaleidoscope. This curse makes navigation and combat extremely challenging, as reality becomes an unpredictable mosaic.
When affected by this curse you will act under the effect of Blindness ∞</v>
      </c>
      <c r="C17" s="4" t="b">
        <f>IFERROR(__xludf.DUMMYFUNCTION("""COMPUTED_VALUE"""),FALSE)</f>
        <v>0</v>
      </c>
      <c r="D17" s="4" t="b">
        <f>IFERROR(__xludf.DUMMYFUNCTION("""COMPUTED_VALUE"""),FALSE)</f>
        <v>0</v>
      </c>
      <c r="E17" s="4" t="b">
        <f>IFERROR(__xludf.DUMMYFUNCTION("""COMPUTED_VALUE"""),TRUE)</f>
        <v>1</v>
      </c>
      <c r="F17" s="4">
        <f>IFERROR(__xludf.DUMMYFUNCTION("""COMPUTED_VALUE"""),20.0)</f>
        <v>20</v>
      </c>
      <c r="G17" s="4" t="str">
        <f>IFERROR(__xludf.DUMMYFUNCTION("""COMPUTED_VALUE"""),"Traveling/Curse Antidote")</f>
        <v>Traveling/Curse Antidote</v>
      </c>
      <c r="H17" s="4"/>
      <c r="I17" s="4"/>
      <c r="J17" s="4"/>
      <c r="K17" s="4"/>
      <c r="L17" s="4"/>
      <c r="M17" s="4"/>
      <c r="N17" s="4"/>
      <c r="O17" s="4"/>
      <c r="P17" s="4"/>
      <c r="Q17" s="4"/>
      <c r="R17" s="4"/>
      <c r="S17" s="4"/>
      <c r="T17" s="4"/>
      <c r="U17" s="4"/>
      <c r="V17" s="4"/>
      <c r="W17" s="4"/>
      <c r="X17" s="4"/>
    </row>
    <row r="18">
      <c r="A18" s="4" t="str">
        <f>IFERROR(__xludf.DUMMYFUNCTION("""COMPUTED_VALUE"""),"Frostbound Heart")</f>
        <v>Frostbound Heart</v>
      </c>
      <c r="B18" s="4" t="str">
        <f>IFERROR(__xludf.DUMMYFUNCTION("""COMPUTED_VALUE"""),"The cursed individual's heart turns to ice, spreading a numbing cold throughout their body. While this grants resistance to fire, it also makes them susceptible to freezing temperatures and slows their movements.
When affected by this curse you will gain"&amp;" X2 Fire resistance but you will act under the effect of Slowness ∞ and have a 25% chance to freeze during each of your turns in battle.")</f>
        <v>The cursed individual's heart turns to ice, spreading a numbing cold throughout their body. While this grants resistance to fire, it also makes them susceptible to freezing temperatures and slows their movements.
When affected by this curse you will gain X2 Fire resistance but you will act under the effect of Slowness ∞ and have a 25% chance to freeze during each of your turns in battle.</v>
      </c>
      <c r="C18" s="4" t="b">
        <f>IFERROR(__xludf.DUMMYFUNCTION("""COMPUTED_VALUE"""),FALSE)</f>
        <v>0</v>
      </c>
      <c r="D18" s="4" t="b">
        <f>IFERROR(__xludf.DUMMYFUNCTION("""COMPUTED_VALUE"""),TRUE)</f>
        <v>1</v>
      </c>
      <c r="E18" s="4" t="b">
        <f>IFERROR(__xludf.DUMMYFUNCTION("""COMPUTED_VALUE"""),FALSE)</f>
        <v>0</v>
      </c>
      <c r="F18" s="4">
        <f>IFERROR(__xludf.DUMMYFUNCTION("""COMPUTED_VALUE"""),0.0)</f>
        <v>0</v>
      </c>
      <c r="G18" s="4" t="str">
        <f>IFERROR(__xludf.DUMMYFUNCTION("""COMPUTED_VALUE"""),"Curse Antidote")</f>
        <v>Curse Antidote</v>
      </c>
      <c r="H18" s="4"/>
      <c r="I18" s="4"/>
      <c r="J18" s="4"/>
      <c r="K18" s="4"/>
      <c r="L18" s="4"/>
      <c r="M18" s="4"/>
      <c r="N18" s="4"/>
      <c r="O18" s="4"/>
      <c r="P18" s="4"/>
      <c r="Q18" s="4"/>
      <c r="R18" s="4"/>
      <c r="S18" s="4"/>
      <c r="T18" s="4"/>
      <c r="U18" s="4"/>
      <c r="V18" s="4"/>
      <c r="W18" s="4"/>
      <c r="X18" s="4"/>
    </row>
    <row r="19">
      <c r="A19" s="4" t="str">
        <f>IFERROR(__xludf.DUMMYFUNCTION("""COMPUTED_VALUE"""),"Thorns of Betrayal")</f>
        <v>Thorns of Betrayal</v>
      </c>
      <c r="B19" s="4" t="str">
        <f>IFERROR(__xludf.DUMMYFUNCTION("""COMPUTED_VALUE"""),"A curse that causes anyone who forms a close bond with the afflicted to suffer pain and injury. The thorns metaphorically grow between the cursed individual and their allies, causing harm whenever trust is established.
When affected by this curse anyone "&amp;"who buffs you will lose Half their HP and SP.")</f>
        <v>A curse that causes anyone who forms a close bond with the afflicted to suffer pain and injury. The thorns metaphorically grow between the cursed individual and their allies, causing harm whenever trust is established.
When affected by this curse anyone who buffs you will lose Half their HP and SP.</v>
      </c>
      <c r="C19" s="4" t="b">
        <f>IFERROR(__xludf.DUMMYFUNCTION("""COMPUTED_VALUE"""),FALSE)</f>
        <v>0</v>
      </c>
      <c r="D19" s="4" t="b">
        <f>IFERROR(__xludf.DUMMYFUNCTION("""COMPUTED_VALUE"""),TRUE)</f>
        <v>1</v>
      </c>
      <c r="E19" s="4" t="b">
        <f>IFERROR(__xludf.DUMMYFUNCTION("""COMPUTED_VALUE"""),FALSE)</f>
        <v>0</v>
      </c>
      <c r="F19" s="4">
        <f>IFERROR(__xludf.DUMMYFUNCTION("""COMPUTED_VALUE"""),0.0)</f>
        <v>0</v>
      </c>
      <c r="G19" s="4" t="str">
        <f>IFERROR(__xludf.DUMMYFUNCTION("""COMPUTED_VALUE"""),"Curse Antidote")</f>
        <v>Curse Antidote</v>
      </c>
      <c r="H19" s="4"/>
      <c r="I19" s="4"/>
      <c r="J19" s="4"/>
      <c r="K19" s="4"/>
      <c r="L19" s="4"/>
      <c r="M19" s="4"/>
      <c r="N19" s="4"/>
      <c r="O19" s="4"/>
      <c r="P19" s="4"/>
      <c r="Q19" s="4"/>
      <c r="R19" s="4"/>
      <c r="S19" s="4"/>
      <c r="T19" s="4"/>
      <c r="U19" s="4"/>
      <c r="V19" s="4"/>
      <c r="W19" s="4"/>
      <c r="X19" s="4"/>
    </row>
    <row r="20">
      <c r="A20" s="4" t="str">
        <f>IFERROR(__xludf.DUMMYFUNCTION("""COMPUTED_VALUE"""),"Veil of Amnesia")</f>
        <v>Veil of Amnesia</v>
      </c>
      <c r="B20" s="4" t="str">
        <f>IFERROR(__xludf.DUMMYFUNCTION("""COMPUTED_VALUE"""),"The cursed person forgets their past, losing memories as if veiled by a mystical fog. Breaking the curse requires piecing together fragments of the forgotten past, scattered in hidden locations.
When affected by this curse you will have a period of time "&amp;"before you character recieves permanent death.")</f>
        <v>The cursed person forgets their past, losing memories as if veiled by a mystical fog. Breaking the curse requires piecing together fragments of the forgotten past, scattered in hidden locations.
When affected by this curse you will have a period of time before you character recieves permanent death.</v>
      </c>
      <c r="C20" s="4" t="b">
        <f>IFERROR(__xludf.DUMMYFUNCTION("""COMPUTED_VALUE"""),FALSE)</f>
        <v>0</v>
      </c>
      <c r="D20" s="4" t="b">
        <f>IFERROR(__xludf.DUMMYFUNCTION("""COMPUTED_VALUE"""),TRUE)</f>
        <v>1</v>
      </c>
      <c r="E20" s="4" t="b">
        <f>IFERROR(__xludf.DUMMYFUNCTION("""COMPUTED_VALUE"""),FALSE)</f>
        <v>0</v>
      </c>
      <c r="F20" s="4">
        <f>IFERROR(__xludf.DUMMYFUNCTION("""COMPUTED_VALUE"""),0.0)</f>
        <v>0</v>
      </c>
      <c r="G20" s="4" t="str">
        <f>IFERROR(__xludf.DUMMYFUNCTION("""COMPUTED_VALUE"""),"A Quest")</f>
        <v>A Quest</v>
      </c>
      <c r="H20" s="4"/>
      <c r="I20" s="4"/>
      <c r="J20" s="4"/>
      <c r="K20" s="4"/>
      <c r="L20" s="4"/>
      <c r="M20" s="4"/>
      <c r="N20" s="4"/>
      <c r="O20" s="4"/>
      <c r="P20" s="4"/>
      <c r="Q20" s="4"/>
      <c r="R20" s="4"/>
      <c r="S20" s="4"/>
      <c r="T20" s="4"/>
      <c r="U20" s="4"/>
      <c r="V20" s="4"/>
      <c r="W20" s="4"/>
      <c r="X20" s="4"/>
    </row>
    <row r="21">
      <c r="A21" s="4" t="str">
        <f>IFERROR(__xludf.DUMMYFUNCTION("""COMPUTED_VALUE"""),"Warping Reflection")</f>
        <v>Warping Reflection</v>
      </c>
      <c r="B21" s="4" t="str">
        <f>IFERROR(__xludf.DUMMYFUNCTION("""COMPUTED_VALUE"""),"Mirrors and reflective surfaces distort the cursed individual's appearance, projecting monstrous or grotesque images. The curse instills fear in those who see the distorted reflection, leading to social isolation.
When affected by this curse your intimid"&amp;"ation and charisma are halved.")</f>
        <v>Mirrors and reflective surfaces distort the cursed individual's appearance, projecting monstrous or grotesque images. The curse instills fear in those who see the distorted reflection, leading to social isolation.
When affected by this curse your intimidation and charisma are halved.</v>
      </c>
      <c r="C21" s="4" t="b">
        <f>IFERROR(__xludf.DUMMYFUNCTION("""COMPUTED_VALUE"""),FALSE)</f>
        <v>0</v>
      </c>
      <c r="D21" s="4" t="b">
        <f>IFERROR(__xludf.DUMMYFUNCTION("""COMPUTED_VALUE"""),TRUE)</f>
        <v>1</v>
      </c>
      <c r="E21" s="4" t="b">
        <f>IFERROR(__xludf.DUMMYFUNCTION("""COMPUTED_VALUE"""),FALSE)</f>
        <v>0</v>
      </c>
      <c r="F21" s="4">
        <f>IFERROR(__xludf.DUMMYFUNCTION("""COMPUTED_VALUE"""),0.0)</f>
        <v>0</v>
      </c>
      <c r="G21" s="4" t="str">
        <f>IFERROR(__xludf.DUMMYFUNCTION("""COMPUTED_VALUE"""),"Curse Antidote")</f>
        <v>Curse Antidote</v>
      </c>
      <c r="H21" s="4"/>
      <c r="I21" s="4"/>
      <c r="J21" s="4"/>
      <c r="K21" s="4"/>
      <c r="L21" s="4"/>
      <c r="M21" s="4"/>
      <c r="N21" s="4"/>
      <c r="O21" s="4"/>
      <c r="P21" s="4"/>
      <c r="Q21" s="4"/>
      <c r="R21" s="4"/>
      <c r="S21" s="4"/>
      <c r="T21" s="4"/>
      <c r="U21" s="4"/>
      <c r="V21" s="4"/>
      <c r="W21" s="4"/>
      <c r="X21" s="4"/>
    </row>
    <row r="22">
      <c r="A22" s="4" t="str">
        <f>IFERROR(__xludf.DUMMYFUNCTION("""COMPUTED_VALUE"""),"Vorpal Silence")</f>
        <v>Vorpal Silence</v>
      </c>
      <c r="B22" s="4" t="str">
        <f>IFERROR(__xludf.DUMMYFUNCTION("""COMPUTED_VALUE"""),"The cursed individual emits a zone of absolute silence, extinguishing all sound within a radius. This eerie quiet can be disorienting and isolating, making it challenging for the afflicted to communicate or coordinate with others.
When affected by this c"&amp;"urse you will deduct 5 from your d20 rolls.")</f>
        <v>The cursed individual emits a zone of absolute silence, extinguishing all sound within a radius. This eerie quiet can be disorienting and isolating, making it challenging for the afflicted to communicate or coordinate with others.
When affected by this curse you will deduct 5 from your d20 rolls.</v>
      </c>
      <c r="C22" s="4" t="b">
        <f>IFERROR(__xludf.DUMMYFUNCTION("""COMPUTED_VALUE"""),FALSE)</f>
        <v>0</v>
      </c>
      <c r="D22" s="4" t="b">
        <f>IFERROR(__xludf.DUMMYFUNCTION("""COMPUTED_VALUE"""),FALSE)</f>
        <v>0</v>
      </c>
      <c r="E22" s="4" t="b">
        <f>IFERROR(__xludf.DUMMYFUNCTION("""COMPUTED_VALUE"""),TRUE)</f>
        <v>1</v>
      </c>
      <c r="F22" s="4">
        <f>IFERROR(__xludf.DUMMYFUNCTION("""COMPUTED_VALUE"""),10.0)</f>
        <v>10</v>
      </c>
      <c r="G22" s="4" t="str">
        <f>IFERROR(__xludf.DUMMYFUNCTION("""COMPUTED_VALUE"""),"Traveling/Curse Antidote")</f>
        <v>Traveling/Curse Antidote</v>
      </c>
      <c r="H22" s="4"/>
      <c r="I22" s="4"/>
      <c r="J22" s="4"/>
      <c r="K22" s="4"/>
      <c r="L22" s="4"/>
      <c r="M22" s="4"/>
      <c r="N22" s="4"/>
      <c r="O22" s="4"/>
      <c r="P22" s="4"/>
      <c r="Q22" s="4"/>
      <c r="R22" s="4"/>
      <c r="S22" s="4"/>
      <c r="T22" s="4"/>
      <c r="U22" s="4"/>
      <c r="V22" s="4"/>
      <c r="W22" s="4"/>
      <c r="X22" s="4"/>
    </row>
    <row r="23">
      <c r="A23" s="4" t="str">
        <f>IFERROR(__xludf.DUMMYFUNCTION("""COMPUTED_VALUE"""),"Ancient Frost Grand Mages Curse")</f>
        <v>Ancient Frost Grand Mages Curse</v>
      </c>
      <c r="B23" s="4" t="str">
        <f>IFERROR(__xludf.DUMMYFUNCTION("""COMPUTED_VALUE"""),"A freezing curse on the target binding them to the area they are currently in, which they now cannot leave.")</f>
        <v>A freezing curse on the target binding them to the area they are currently in, which they now cannot leave.</v>
      </c>
      <c r="C23" s="4" t="b">
        <f>IFERROR(__xludf.DUMMYFUNCTION("""COMPUTED_VALUE"""),FALSE)</f>
        <v>0</v>
      </c>
      <c r="D23" s="4" t="b">
        <f>IFERROR(__xludf.DUMMYFUNCTION("""COMPUTED_VALUE"""),TRUE)</f>
        <v>1</v>
      </c>
      <c r="E23" s="4" t="b">
        <f>IFERROR(__xludf.DUMMYFUNCTION("""COMPUTED_VALUE"""),FALSE)</f>
        <v>0</v>
      </c>
      <c r="F23" s="4">
        <f>IFERROR(__xludf.DUMMYFUNCTION("""COMPUTED_VALUE"""),0.0)</f>
        <v>0</v>
      </c>
      <c r="G23" s="4" t="str">
        <f>IFERROR(__xludf.DUMMYFUNCTION("""COMPUTED_VALUE"""),"Curse Antidote")</f>
        <v>Curse Antidote</v>
      </c>
      <c r="H23" s="4"/>
      <c r="I23" s="4"/>
      <c r="J23" s="4"/>
      <c r="K23" s="4"/>
      <c r="L23" s="4"/>
      <c r="M23" s="4"/>
      <c r="N23" s="4"/>
      <c r="O23" s="4"/>
      <c r="P23" s="4"/>
      <c r="Q23" s="4"/>
      <c r="R23" s="4"/>
      <c r="S23" s="4"/>
      <c r="T23" s="4"/>
      <c r="U23" s="4"/>
      <c r="V23" s="4"/>
      <c r="W23" s="4"/>
      <c r="X23" s="4"/>
    </row>
    <row r="24">
      <c r="A24" s="4"/>
      <c r="B24" s="4"/>
      <c r="C24" s="4" t="b">
        <f>IFERROR(__xludf.DUMMYFUNCTION("""COMPUTED_VALUE"""),FALSE)</f>
        <v>0</v>
      </c>
      <c r="D24" s="4" t="b">
        <f>IFERROR(__xludf.DUMMYFUNCTION("""COMPUTED_VALUE"""),FALSE)</f>
        <v>0</v>
      </c>
      <c r="E24" s="4" t="b">
        <f>IFERROR(__xludf.DUMMYFUNCTION("""COMPUTED_VALUE"""),FALSE)</f>
        <v>0</v>
      </c>
      <c r="F24" s="4"/>
      <c r="G24" s="4"/>
      <c r="H24" s="4"/>
      <c r="I24" s="4"/>
      <c r="J24" s="4"/>
      <c r="K24" s="4"/>
      <c r="L24" s="4"/>
      <c r="M24" s="4"/>
      <c r="N24" s="4"/>
      <c r="O24" s="4"/>
      <c r="P24" s="4"/>
      <c r="Q24" s="4"/>
      <c r="R24" s="4"/>
      <c r="S24" s="4"/>
      <c r="T24" s="4"/>
      <c r="U24" s="4"/>
      <c r="V24" s="4"/>
      <c r="W24" s="4"/>
      <c r="X24" s="4"/>
    </row>
    <row r="25">
      <c r="A25" s="4"/>
      <c r="B25" s="4"/>
      <c r="C25" s="4" t="b">
        <f>IFERROR(__xludf.DUMMYFUNCTION("""COMPUTED_VALUE"""),FALSE)</f>
        <v>0</v>
      </c>
      <c r="D25" s="4" t="b">
        <f>IFERROR(__xludf.DUMMYFUNCTION("""COMPUTED_VALUE"""),FALSE)</f>
        <v>0</v>
      </c>
      <c r="E25" s="4" t="b">
        <f>IFERROR(__xludf.DUMMYFUNCTION("""COMPUTED_VALUE"""),FALSE)</f>
        <v>0</v>
      </c>
      <c r="F25" s="4"/>
      <c r="G25" s="4"/>
      <c r="H25" s="4"/>
      <c r="I25" s="4"/>
      <c r="J25" s="4"/>
      <c r="K25" s="4"/>
      <c r="L25" s="4"/>
      <c r="M25" s="4"/>
      <c r="N25" s="4"/>
      <c r="O25" s="4"/>
      <c r="P25" s="4"/>
      <c r="Q25" s="4"/>
      <c r="R25" s="4"/>
      <c r="S25" s="4"/>
      <c r="T25" s="4"/>
      <c r="U25" s="4"/>
      <c r="V25" s="4"/>
      <c r="W25" s="4"/>
      <c r="X25" s="4"/>
    </row>
    <row r="26">
      <c r="A26" s="4"/>
      <c r="B26" s="4"/>
      <c r="C26" s="4" t="b">
        <f>IFERROR(__xludf.DUMMYFUNCTION("""COMPUTED_VALUE"""),FALSE)</f>
        <v>0</v>
      </c>
      <c r="D26" s="4" t="b">
        <f>IFERROR(__xludf.DUMMYFUNCTION("""COMPUTED_VALUE"""),FALSE)</f>
        <v>0</v>
      </c>
      <c r="E26" s="4" t="b">
        <f>IFERROR(__xludf.DUMMYFUNCTION("""COMPUTED_VALUE"""),FALSE)</f>
        <v>0</v>
      </c>
      <c r="F26" s="4"/>
      <c r="G26" s="4"/>
      <c r="H26" s="4"/>
      <c r="I26" s="4"/>
      <c r="J26" s="4"/>
      <c r="K26" s="4"/>
      <c r="L26" s="4"/>
      <c r="M26" s="4"/>
      <c r="N26" s="4"/>
      <c r="O26" s="4"/>
      <c r="P26" s="4"/>
      <c r="Q26" s="4"/>
      <c r="R26" s="4"/>
      <c r="S26" s="4"/>
      <c r="T26" s="4"/>
      <c r="U26" s="4"/>
      <c r="V26" s="4"/>
      <c r="W26" s="4"/>
      <c r="X26" s="4"/>
    </row>
    <row r="27">
      <c r="A27" s="4"/>
      <c r="B27" s="4"/>
      <c r="C27" s="4" t="b">
        <f>IFERROR(__xludf.DUMMYFUNCTION("""COMPUTED_VALUE"""),FALSE)</f>
        <v>0</v>
      </c>
      <c r="D27" s="4" t="b">
        <f>IFERROR(__xludf.DUMMYFUNCTION("""COMPUTED_VALUE"""),FALSE)</f>
        <v>0</v>
      </c>
      <c r="E27" s="4" t="b">
        <f>IFERROR(__xludf.DUMMYFUNCTION("""COMPUTED_VALUE"""),FALSE)</f>
        <v>0</v>
      </c>
      <c r="F27" s="4"/>
      <c r="G27" s="4"/>
      <c r="H27" s="4"/>
      <c r="I27" s="4"/>
      <c r="J27" s="4"/>
      <c r="K27" s="4"/>
      <c r="L27" s="4"/>
      <c r="M27" s="4"/>
      <c r="N27" s="4"/>
      <c r="O27" s="4"/>
      <c r="P27" s="4"/>
      <c r="Q27" s="4"/>
      <c r="R27" s="4"/>
      <c r="S27" s="4"/>
      <c r="T27" s="4"/>
      <c r="U27" s="4"/>
      <c r="V27" s="4"/>
      <c r="W27" s="4"/>
      <c r="X27" s="4"/>
    </row>
    <row r="28">
      <c r="A28" s="4"/>
      <c r="B28" s="4"/>
      <c r="C28" s="4" t="b">
        <f>IFERROR(__xludf.DUMMYFUNCTION("""COMPUTED_VALUE"""),FALSE)</f>
        <v>0</v>
      </c>
      <c r="D28" s="4" t="b">
        <f>IFERROR(__xludf.DUMMYFUNCTION("""COMPUTED_VALUE"""),FALSE)</f>
        <v>0</v>
      </c>
      <c r="E28" s="4" t="b">
        <f>IFERROR(__xludf.DUMMYFUNCTION("""COMPUTED_VALUE"""),FALSE)</f>
        <v>0</v>
      </c>
      <c r="F28" s="4"/>
      <c r="G28" s="4"/>
      <c r="H28" s="4"/>
      <c r="I28" s="4"/>
      <c r="J28" s="4"/>
      <c r="K28" s="4"/>
      <c r="L28" s="4"/>
      <c r="M28" s="4"/>
      <c r="N28" s="4"/>
      <c r="O28" s="4"/>
      <c r="P28" s="4"/>
      <c r="Q28" s="4"/>
      <c r="R28" s="4"/>
      <c r="S28" s="4"/>
      <c r="T28" s="4"/>
      <c r="U28" s="4"/>
      <c r="V28" s="4"/>
      <c r="W28" s="4"/>
      <c r="X28" s="4"/>
    </row>
    <row r="29">
      <c r="A29" s="4"/>
      <c r="B29" s="4"/>
      <c r="C29" s="4" t="b">
        <f>IFERROR(__xludf.DUMMYFUNCTION("""COMPUTED_VALUE"""),FALSE)</f>
        <v>0</v>
      </c>
      <c r="D29" s="4" t="b">
        <f>IFERROR(__xludf.DUMMYFUNCTION("""COMPUTED_VALUE"""),FALSE)</f>
        <v>0</v>
      </c>
      <c r="E29" s="4" t="b">
        <f>IFERROR(__xludf.DUMMYFUNCTION("""COMPUTED_VALUE"""),FALSE)</f>
        <v>0</v>
      </c>
      <c r="F29" s="4"/>
      <c r="G29" s="4"/>
      <c r="H29" s="4"/>
      <c r="I29" s="4"/>
      <c r="J29" s="4"/>
      <c r="K29" s="4"/>
      <c r="L29" s="4"/>
      <c r="M29" s="4"/>
      <c r="N29" s="4"/>
      <c r="O29" s="4"/>
      <c r="P29" s="4"/>
      <c r="Q29" s="4"/>
      <c r="R29" s="4"/>
      <c r="S29" s="4"/>
      <c r="T29" s="4"/>
      <c r="U29" s="4"/>
      <c r="V29" s="4"/>
      <c r="W29" s="4"/>
      <c r="X29" s="4"/>
    </row>
    <row r="30">
      <c r="A30" s="4"/>
      <c r="B30" s="4"/>
      <c r="C30" s="4" t="b">
        <f>IFERROR(__xludf.DUMMYFUNCTION("""COMPUTED_VALUE"""),FALSE)</f>
        <v>0</v>
      </c>
      <c r="D30" s="4" t="b">
        <f>IFERROR(__xludf.DUMMYFUNCTION("""COMPUTED_VALUE"""),FALSE)</f>
        <v>0</v>
      </c>
      <c r="E30" s="4" t="b">
        <f>IFERROR(__xludf.DUMMYFUNCTION("""COMPUTED_VALUE"""),FALSE)</f>
        <v>0</v>
      </c>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IFERROR(__xludf.DUMMYFUNCTION("IMPORTRANGE(""https://docs.google.com/spreadsheets/d/""&amp;Config!$B$1,""Diseases!A:AX"")"),"Name")</f>
        <v>Name</v>
      </c>
      <c r="B1" s="4" t="str">
        <f>IFERROR(__xludf.DUMMYFUNCTION("""COMPUTED_VALUE"""),"Description")</f>
        <v>Description</v>
      </c>
      <c r="C1" s="4" t="str">
        <f>IFERROR(__xludf.DUMMYFUNCTION("""COMPUTED_VALUE"""),"Permanent")</f>
        <v>Permanent</v>
      </c>
      <c r="D1" s="4" t="str">
        <f>IFERROR(__xludf.DUMMYFUNCTION("""COMPUTED_VALUE"""),"SemiPermanent ")</f>
        <v>SemiPermanent </v>
      </c>
      <c r="E1" s="4" t="str">
        <f>IFERROR(__xludf.DUMMYFUNCTION("""COMPUTED_VALUE"""),"Temp")</f>
        <v>Temp</v>
      </c>
      <c r="F1" s="4" t="str">
        <f>IFERROR(__xludf.DUMMYFUNCTION("""COMPUTED_VALUE"""),"Days of Effect")</f>
        <v>Days of Effect</v>
      </c>
      <c r="G1" s="4" t="str">
        <f>IFERROR(__xludf.DUMMYFUNCTION("""COMPUTED_VALUE"""),"Cure")</f>
        <v>Cure</v>
      </c>
      <c r="H1" s="4"/>
      <c r="I1" s="4"/>
      <c r="J1" s="4"/>
      <c r="K1" s="4"/>
      <c r="L1" s="4"/>
      <c r="M1" s="4"/>
      <c r="N1" s="4"/>
      <c r="O1" s="4"/>
      <c r="P1" s="4"/>
      <c r="Q1" s="4"/>
      <c r="R1" s="4"/>
      <c r="S1" s="4"/>
      <c r="T1" s="4"/>
      <c r="U1" s="4"/>
      <c r="V1" s="4"/>
      <c r="W1" s="4"/>
      <c r="X1" s="4"/>
    </row>
    <row r="2">
      <c r="A2" s="4" t="str">
        <f>IFERROR(__xludf.DUMMYFUNCTION("""COMPUTED_VALUE"""),"Common Cold")</f>
        <v>Common Cold</v>
      </c>
      <c r="B2" s="4" t="str">
        <f>IFERROR(__xludf.DUMMYFUNCTION("""COMPUTED_VALUE"""),"cough cough.")</f>
        <v>cough cough.</v>
      </c>
      <c r="C2" s="4" t="b">
        <f>IFERROR(__xludf.DUMMYFUNCTION("""COMPUTED_VALUE"""),FALSE)</f>
        <v>0</v>
      </c>
      <c r="D2" s="4" t="b">
        <f>IFERROR(__xludf.DUMMYFUNCTION("""COMPUTED_VALUE"""),FALSE)</f>
        <v>0</v>
      </c>
      <c r="E2" s="4" t="b">
        <f>IFERROR(__xludf.DUMMYFUNCTION("""COMPUTED_VALUE"""),TRUE)</f>
        <v>1</v>
      </c>
      <c r="F2" s="4">
        <f>IFERROR(__xludf.DUMMYFUNCTION("""COMPUTED_VALUE"""),3.0)</f>
        <v>3</v>
      </c>
      <c r="G2" s="4" t="str">
        <f>IFERROR(__xludf.DUMMYFUNCTION("""COMPUTED_VALUE"""),"Bed Rest")</f>
        <v>Bed Rest</v>
      </c>
      <c r="H2" s="4"/>
      <c r="I2" s="4"/>
      <c r="J2" s="4"/>
      <c r="K2" s="4"/>
      <c r="L2" s="4"/>
      <c r="M2" s="4"/>
      <c r="N2" s="4"/>
      <c r="O2" s="4"/>
      <c r="P2" s="4"/>
      <c r="Q2" s="4"/>
      <c r="R2" s="4"/>
      <c r="S2" s="4"/>
      <c r="T2" s="4"/>
      <c r="U2" s="4"/>
      <c r="V2" s="4"/>
      <c r="W2" s="4"/>
      <c r="X2" s="4"/>
    </row>
    <row r="3">
      <c r="A3" s="4" t="str">
        <f>IFERROR(__xludf.DUMMYFUNCTION("""COMPUTED_VALUE"""),"Mindweb Parasitism")</f>
        <v>Mindweb Parasitism</v>
      </c>
      <c r="B3" s="4" t="str">
        <f>IFERROR(__xludf.DUMMYFUNCTION("""COMPUTED_VALUE"""),"A parasitic organism infiltrates the minds of the infected, creating a shared consciousness known as the Mindweb. Those connected experience each other's thoughts and emotions, leading to a loss of individuality. 
When you die anyone in the party with th"&amp;"is same disease will lose their next turn
Each party member not infected by this disease will have a 10% chance of becoming infected during each battle/day of travel.")</f>
        <v>A parasitic organism infiltrates the minds of the infected, creating a shared consciousness known as the Mindweb. Those connected experience each other's thoughts and emotions, leading to a loss of individuality. 
When you die anyone in the party with this same disease will lose their next turn
Each party member not infected by this disease will have a 10% chance of becoming infected during each battle/day of travel.</v>
      </c>
      <c r="C3" s="4" t="b">
        <f>IFERROR(__xludf.DUMMYFUNCTION("""COMPUTED_VALUE"""),FALSE)</f>
        <v>0</v>
      </c>
      <c r="D3" s="4" t="b">
        <f>IFERROR(__xludf.DUMMYFUNCTION("""COMPUTED_VALUE"""),TRUE)</f>
        <v>1</v>
      </c>
      <c r="E3" s="4" t="b">
        <f>IFERROR(__xludf.DUMMYFUNCTION("""COMPUTED_VALUE"""),FALSE)</f>
        <v>0</v>
      </c>
      <c r="F3" s="4">
        <f>IFERROR(__xludf.DUMMYFUNCTION("""COMPUTED_VALUE"""),0.0)</f>
        <v>0</v>
      </c>
      <c r="G3" s="4" t="str">
        <f>IFERROR(__xludf.DUMMYFUNCTION("""COMPUTED_VALUE"""),"Disease Antidote")</f>
        <v>Disease Antidote</v>
      </c>
      <c r="H3" s="4"/>
      <c r="I3" s="4"/>
      <c r="J3" s="4"/>
      <c r="K3" s="4"/>
      <c r="L3" s="4"/>
      <c r="M3" s="4"/>
      <c r="N3" s="4"/>
      <c r="O3" s="4"/>
      <c r="P3" s="4"/>
      <c r="Q3" s="4"/>
      <c r="R3" s="4"/>
      <c r="S3" s="4"/>
      <c r="T3" s="4"/>
      <c r="U3" s="4"/>
      <c r="V3" s="4"/>
      <c r="W3" s="4"/>
      <c r="X3" s="4"/>
    </row>
    <row r="4">
      <c r="A4" s="4" t="str">
        <f>IFERROR(__xludf.DUMMYFUNCTION("""COMPUTED_VALUE"""),"Luminescent Flux")</f>
        <v>Luminescent Flux</v>
      </c>
      <c r="B4" s="4" t="str">
        <f>IFERROR(__xludf.DUMMYFUNCTION("""COMPUTED_VALUE"""),"This mysterious disease causes the skin of the infected to emit a soft, ethereal glow. As the disease progresses, the glow intensifies, attracting creatures and making it difficult for the afflicted to hide.
When affected by this disease an additional 2 "&amp;"mobs will join any battle.")</f>
        <v>This mysterious disease causes the skin of the infected to emit a soft, ethereal glow. As the disease progresses, the glow intensifies, attracting creatures and making it difficult for the afflicted to hide.
When affected by this disease an additional 2 mobs will join any battle.</v>
      </c>
      <c r="C4" s="4" t="b">
        <f>IFERROR(__xludf.DUMMYFUNCTION("""COMPUTED_VALUE"""),FALSE)</f>
        <v>0</v>
      </c>
      <c r="D4" s="4" t="b">
        <f>IFERROR(__xludf.DUMMYFUNCTION("""COMPUTED_VALUE"""),TRUE)</f>
        <v>1</v>
      </c>
      <c r="E4" s="4" t="b">
        <f>IFERROR(__xludf.DUMMYFUNCTION("""COMPUTED_VALUE"""),FALSE)</f>
        <v>0</v>
      </c>
      <c r="F4" s="4">
        <f>IFERROR(__xludf.DUMMYFUNCTION("""COMPUTED_VALUE"""),0.0)</f>
        <v>0</v>
      </c>
      <c r="G4" s="4" t="str">
        <f>IFERROR(__xludf.DUMMYFUNCTION("""COMPUTED_VALUE"""),"Disease Antidote")</f>
        <v>Disease Antidote</v>
      </c>
      <c r="H4" s="4"/>
      <c r="I4" s="4"/>
      <c r="J4" s="4"/>
      <c r="K4" s="4"/>
      <c r="L4" s="4"/>
      <c r="M4" s="4"/>
      <c r="N4" s="4"/>
      <c r="O4" s="4"/>
      <c r="P4" s="4"/>
      <c r="Q4" s="4"/>
      <c r="R4" s="4"/>
      <c r="S4" s="4"/>
      <c r="T4" s="4"/>
      <c r="U4" s="4"/>
      <c r="V4" s="4"/>
      <c r="W4" s="4"/>
      <c r="X4" s="4"/>
    </row>
    <row r="5">
      <c r="A5" s="4" t="str">
        <f>IFERROR(__xludf.DUMMYFUNCTION("""COMPUTED_VALUE"""),"Whispering Rot")</f>
        <v>Whispering Rot</v>
      </c>
      <c r="B5" s="4" t="str">
        <f>IFERROR(__xludf.DUMMYFUNCTION("""COMPUTED_VALUE"""),"Victims of the Whispering Rot hear unsettling whispers that only they can hear. The whispers grow louder and more malicious over time, driving the infected to madness. Those in close proximity may also begin to hear the disturbing voices. 
You will act u"&amp;"nder the effects of Rampage while affected by this disease. 
Each party member not infected by this disease will have a 10% chance of becoming infected during each battle/day of travel.")</f>
        <v>Victims of the Whispering Rot hear unsettling whispers that only they can hear. The whispers grow louder and more malicious over time, driving the infected to madness. Those in close proximity may also begin to hear the disturbing voices. 
You will act under the effects of Rampage while affected by this disease. 
Each party member not infected by this disease will have a 10% chance of becoming infected during each battle/day of travel.</v>
      </c>
      <c r="C5" s="4" t="b">
        <f>IFERROR(__xludf.DUMMYFUNCTION("""COMPUTED_VALUE"""),FALSE)</f>
        <v>0</v>
      </c>
      <c r="D5" s="4" t="b">
        <f>IFERROR(__xludf.DUMMYFUNCTION("""COMPUTED_VALUE"""),FALSE)</f>
        <v>0</v>
      </c>
      <c r="E5" s="4" t="b">
        <f>IFERROR(__xludf.DUMMYFUNCTION("""COMPUTED_VALUE"""),TRUE)</f>
        <v>1</v>
      </c>
      <c r="F5" s="4">
        <f>IFERROR(__xludf.DUMMYFUNCTION("""COMPUTED_VALUE"""),20.0)</f>
        <v>20</v>
      </c>
      <c r="G5" s="4" t="str">
        <f>IFERROR(__xludf.DUMMYFUNCTION("""COMPUTED_VALUE"""),"Traveling/Disease Antidote")</f>
        <v>Traveling/Disease Antidote</v>
      </c>
      <c r="H5" s="4"/>
      <c r="I5" s="4"/>
      <c r="J5" s="4"/>
      <c r="K5" s="4"/>
      <c r="L5" s="4"/>
      <c r="M5" s="4"/>
      <c r="N5" s="4"/>
      <c r="O5" s="4"/>
      <c r="P5" s="4"/>
      <c r="Q5" s="4"/>
      <c r="R5" s="4"/>
      <c r="S5" s="4"/>
      <c r="T5" s="4"/>
      <c r="U5" s="4"/>
      <c r="V5" s="4"/>
      <c r="W5" s="4"/>
      <c r="X5" s="4"/>
    </row>
    <row r="6">
      <c r="A6" s="4" t="str">
        <f>IFERROR(__xludf.DUMMYFUNCTION("""COMPUTED_VALUE"""),"Veilshade Fever")</f>
        <v>Veilshade Fever</v>
      </c>
      <c r="B6" s="4" t="str">
        <f>IFERROR(__xludf.DUMMYFUNCTION("""COMPUTED_VALUE"""),"Infected individuals experience vivid hallucinations of an otherworldly realm. As the fever worsens, these visions become more tangible, with creatures from the alternate dimension crossing over into reality. 
When affected by this disease you will have "&amp;"a 50% chance to target anyone at random with a power/attack.")</f>
        <v>Infected individuals experience vivid hallucinations of an otherworldly realm. As the fever worsens, these visions become more tangible, with creatures from the alternate dimension crossing over into reality. 
When affected by this disease you will have a 50% chance to target anyone at random with a power/attack.</v>
      </c>
      <c r="C6" s="4" t="b">
        <f>IFERROR(__xludf.DUMMYFUNCTION("""COMPUTED_VALUE"""),FALSE)</f>
        <v>0</v>
      </c>
      <c r="D6" s="4" t="b">
        <f>IFERROR(__xludf.DUMMYFUNCTION("""COMPUTED_VALUE"""),FALSE)</f>
        <v>0</v>
      </c>
      <c r="E6" s="4" t="b">
        <f>IFERROR(__xludf.DUMMYFUNCTION("""COMPUTED_VALUE"""),TRUE)</f>
        <v>1</v>
      </c>
      <c r="F6" s="4">
        <f>IFERROR(__xludf.DUMMYFUNCTION("""COMPUTED_VALUE"""),20.0)</f>
        <v>20</v>
      </c>
      <c r="G6" s="4" t="str">
        <f>IFERROR(__xludf.DUMMYFUNCTION("""COMPUTED_VALUE"""),"Traveling/Disease Antidote")</f>
        <v>Traveling/Disease Antidote</v>
      </c>
      <c r="H6" s="4"/>
      <c r="I6" s="4"/>
      <c r="J6" s="4"/>
      <c r="K6" s="4"/>
      <c r="L6" s="4"/>
      <c r="M6" s="4"/>
      <c r="N6" s="4"/>
      <c r="O6" s="4"/>
      <c r="P6" s="4"/>
      <c r="Q6" s="4"/>
      <c r="R6" s="4"/>
      <c r="S6" s="4"/>
      <c r="T6" s="4"/>
      <c r="U6" s="4"/>
      <c r="V6" s="4"/>
      <c r="W6" s="4"/>
      <c r="X6" s="4"/>
    </row>
    <row r="7">
      <c r="A7" s="4" t="str">
        <f>IFERROR(__xludf.DUMMYFUNCTION("""COMPUTED_VALUE"""),"Ephemeral Petrification")</f>
        <v>Ephemeral Petrification</v>
      </c>
      <c r="B7" s="4" t="str">
        <f>IFERROR(__xludf.DUMMYFUNCTION("""COMPUTED_VALUE"""),"Victims slowly turn to stone, starting from their extremities and working inward. 
When affected by this disease you will have a 25% chance to lose your turn during each of your turns each battle")</f>
        <v>Victims slowly turn to stone, starting from their extremities and working inward. 
When affected by this disease you will have a 25% chance to lose your turn during each of your turns each battle</v>
      </c>
      <c r="C7" s="4" t="b">
        <f>IFERROR(__xludf.DUMMYFUNCTION("""COMPUTED_VALUE"""),FALSE)</f>
        <v>0</v>
      </c>
      <c r="D7" s="4" t="b">
        <f>IFERROR(__xludf.DUMMYFUNCTION("""COMPUTED_VALUE"""),FALSE)</f>
        <v>0</v>
      </c>
      <c r="E7" s="4" t="b">
        <f>IFERROR(__xludf.DUMMYFUNCTION("""COMPUTED_VALUE"""),TRUE)</f>
        <v>1</v>
      </c>
      <c r="F7" s="4">
        <f>IFERROR(__xludf.DUMMYFUNCTION("""COMPUTED_VALUE"""),20.0)</f>
        <v>20</v>
      </c>
      <c r="G7" s="4" t="str">
        <f>IFERROR(__xludf.DUMMYFUNCTION("""COMPUTED_VALUE"""),"Traveling/Disease Antidote")</f>
        <v>Traveling/Disease Antidote</v>
      </c>
      <c r="H7" s="4"/>
      <c r="I7" s="4"/>
      <c r="J7" s="4"/>
      <c r="K7" s="4"/>
      <c r="L7" s="4"/>
      <c r="M7" s="4"/>
      <c r="N7" s="4"/>
      <c r="O7" s="4"/>
      <c r="P7" s="4"/>
      <c r="Q7" s="4"/>
      <c r="R7" s="4"/>
      <c r="S7" s="4"/>
      <c r="T7" s="4"/>
      <c r="U7" s="4"/>
      <c r="V7" s="4"/>
      <c r="W7" s="4"/>
      <c r="X7" s="4"/>
    </row>
    <row r="8">
      <c r="A8" s="4" t="str">
        <f>IFERROR(__xludf.DUMMYFUNCTION("""COMPUTED_VALUE"""),"Spectral Withering")</f>
        <v>Spectral Withering</v>
      </c>
      <c r="B8" s="4" t="str">
        <f>IFERROR(__xludf.DUMMYFUNCTION("""COMPUTED_VALUE"""),"The infected phase in and out of the material plane, making them partially incorporeal. This spectral existence causes physical decay, as their bodies struggle to maintain a solid form.
When affected by this disease you will be under the effects of Incor"&amp;"poreal ∞
If this disease is not cured by the end of it's effect you will gain the Undead Ability permanently.")</f>
        <v>The infected phase in and out of the material plane, making them partially incorporeal. This spectral existence causes physical decay, as their bodies struggle to maintain a solid form.
When affected by this disease you will be under the effects of Incorporeal ∞
If this disease is not cured by the end of it's effect you will gain the Undead Ability permanently.</v>
      </c>
      <c r="C8" s="4" t="b">
        <f>IFERROR(__xludf.DUMMYFUNCTION("""COMPUTED_VALUE"""),FALSE)</f>
        <v>0</v>
      </c>
      <c r="D8" s="4" t="b">
        <f>IFERROR(__xludf.DUMMYFUNCTION("""COMPUTED_VALUE"""),FALSE)</f>
        <v>0</v>
      </c>
      <c r="E8" s="4" t="b">
        <f>IFERROR(__xludf.DUMMYFUNCTION("""COMPUTED_VALUE"""),TRUE)</f>
        <v>1</v>
      </c>
      <c r="F8" s="4">
        <f>IFERROR(__xludf.DUMMYFUNCTION("""COMPUTED_VALUE"""),50.0)</f>
        <v>50</v>
      </c>
      <c r="G8" s="4" t="str">
        <f>IFERROR(__xludf.DUMMYFUNCTION("""COMPUTED_VALUE"""),"Traveling/Disease Antidote")</f>
        <v>Traveling/Disease Antidote</v>
      </c>
      <c r="H8" s="4"/>
      <c r="I8" s="4"/>
      <c r="J8" s="4"/>
      <c r="K8" s="4"/>
      <c r="L8" s="4"/>
      <c r="M8" s="4"/>
      <c r="N8" s="4"/>
      <c r="O8" s="4"/>
      <c r="P8" s="4"/>
      <c r="Q8" s="4"/>
      <c r="R8" s="4"/>
      <c r="S8" s="4"/>
      <c r="T8" s="4"/>
      <c r="U8" s="4"/>
      <c r="V8" s="4"/>
      <c r="W8" s="4"/>
      <c r="X8" s="4"/>
    </row>
    <row r="9">
      <c r="A9" s="4" t="str">
        <f>IFERROR(__xludf.DUMMYFUNCTION("""COMPUTED_VALUE"""),"Blazing Plague")</f>
        <v>Blazing Plague</v>
      </c>
      <c r="B9" s="4" t="str">
        <f>IFERROR(__xludf.DUMMYFUNCTION("""COMPUTED_VALUE"""),"A feverish sickness that causes the infected to burst into flames periodically. The flames do not harm the individual but can ignite nearby objects. The disease is highly contagious through contact with the burning embers.
Anyone affected by this disease"&amp;" cannot be immune to Fire and will take X2 additional Fire damage.
40% chance to infect a random party member during each day of travel. ")</f>
        <v>A feverish sickness that causes the infected to burst into flames periodically. The flames do not harm the individual but can ignite nearby objects. The disease is highly contagious through contact with the burning embers.
Anyone affected by this disease cannot be immune to Fire and will take X2 additional Fire damage.
40% chance to infect a random party member during each day of travel. </v>
      </c>
      <c r="C9" s="4" t="b">
        <f>IFERROR(__xludf.DUMMYFUNCTION("""COMPUTED_VALUE"""),FALSE)</f>
        <v>0</v>
      </c>
      <c r="D9" s="4" t="b">
        <f>IFERROR(__xludf.DUMMYFUNCTION("""COMPUTED_VALUE"""),FALSE)</f>
        <v>0</v>
      </c>
      <c r="E9" s="4" t="b">
        <f>IFERROR(__xludf.DUMMYFUNCTION("""COMPUTED_VALUE"""),TRUE)</f>
        <v>1</v>
      </c>
      <c r="F9" s="4">
        <f>IFERROR(__xludf.DUMMYFUNCTION("""COMPUTED_VALUE"""),40.0)</f>
        <v>40</v>
      </c>
      <c r="G9" s="4" t="str">
        <f>IFERROR(__xludf.DUMMYFUNCTION("""COMPUTED_VALUE"""),"Traveling/Disease Antidote")</f>
        <v>Traveling/Disease Antidote</v>
      </c>
      <c r="H9" s="4"/>
      <c r="I9" s="4"/>
      <c r="J9" s="4"/>
      <c r="K9" s="4"/>
      <c r="L9" s="4"/>
      <c r="M9" s="4"/>
      <c r="N9" s="4"/>
      <c r="O9" s="4"/>
      <c r="P9" s="4"/>
      <c r="Q9" s="4"/>
      <c r="R9" s="4"/>
      <c r="S9" s="4"/>
      <c r="T9" s="4"/>
      <c r="U9" s="4"/>
      <c r="V9" s="4"/>
      <c r="W9" s="4"/>
      <c r="X9" s="4"/>
    </row>
    <row r="10">
      <c r="A10" s="4" t="str">
        <f>IFERROR(__xludf.DUMMYFUNCTION("""COMPUTED_VALUE"""),"Abyssal Resonance")</f>
        <v>Abyssal Resonance</v>
      </c>
      <c r="B10" s="4" t="str">
        <f>IFERROR(__xludf.DUMMYFUNCTION("""COMPUTED_VALUE"""),"The infected carry an otherworldly aura that attracts malevolent entities from the abyss. These entities seek to possess or consume the infected, leading to dangerous encounters with demonic forces.
25% chance an undead mob will engage you in battle duri"&amp;"ng each day of travel whether or not the day is good or bad.")</f>
        <v>The infected carry an otherworldly aura that attracts malevolent entities from the abyss. These entities seek to possess or consume the infected, leading to dangerous encounters with demonic forces.
25% chance an undead mob will engage you in battle during each day of travel whether or not the day is good or bad.</v>
      </c>
      <c r="C10" s="4" t="b">
        <f>IFERROR(__xludf.DUMMYFUNCTION("""COMPUTED_VALUE"""),FALSE)</f>
        <v>0</v>
      </c>
      <c r="D10" s="4" t="b">
        <f>IFERROR(__xludf.DUMMYFUNCTION("""COMPUTED_VALUE"""),TRUE)</f>
        <v>1</v>
      </c>
      <c r="E10" s="4" t="b">
        <f>IFERROR(__xludf.DUMMYFUNCTION("""COMPUTED_VALUE"""),FALSE)</f>
        <v>0</v>
      </c>
      <c r="F10" s="4">
        <f>IFERROR(__xludf.DUMMYFUNCTION("""COMPUTED_VALUE"""),0.0)</f>
        <v>0</v>
      </c>
      <c r="G10" s="4" t="str">
        <f>IFERROR(__xludf.DUMMYFUNCTION("""COMPUTED_VALUE"""),"Disease Antidote")</f>
        <v>Disease Antidote</v>
      </c>
      <c r="H10" s="4"/>
      <c r="I10" s="4"/>
      <c r="J10" s="4"/>
      <c r="K10" s="4"/>
      <c r="L10" s="4"/>
      <c r="M10" s="4"/>
      <c r="N10" s="4"/>
      <c r="O10" s="4"/>
      <c r="P10" s="4"/>
      <c r="Q10" s="4"/>
      <c r="R10" s="4"/>
      <c r="S10" s="4"/>
      <c r="T10" s="4"/>
      <c r="U10" s="4"/>
      <c r="V10" s="4"/>
      <c r="W10" s="4"/>
      <c r="X10" s="4"/>
    </row>
    <row r="11">
      <c r="A11" s="4" t="str">
        <f>IFERROR(__xludf.DUMMYFUNCTION("""COMPUTED_VALUE"""),"Draconic Venomflux")</f>
        <v>Draconic Venomflux</v>
      </c>
      <c r="B11" s="4" t="str">
        <f>IFERROR(__xludf.DUMMYFUNCTION("""COMPUTED_VALUE"""),"The disease manifests in various stages, starting with subtle symptoms such as mild fever and disorientation.
Victims experience the development of venomous lesions on their skin, resembling the scales of a dragon. The venom within these scales can be tr"&amp;"ansmitted through touch, leading to the infection of others. In its advanced stages, Draconic Venomflux can induce hallucinations, making the line between reality and illusion blurred for the afflicted.
This desease spreads to anyone that buffs you.
25%"&amp;" chance you attack a random party member on each of your turns during battle.")</f>
        <v>The disease manifests in various stages, starting with subtle symptoms such as mild fever and disorientation.
Victims experience the development of venomous lesions on their skin, resembling the scales of a dragon. The venom within these scales can be transmitted through touch, leading to the infection of others. In its advanced stages, Draconic Venomflux can induce hallucinations, making the line between reality and illusion blurred for the afflicted.
This desease spreads to anyone that buffs you.
25% chance you attack a random party member on each of your turns during battle.</v>
      </c>
      <c r="C11" s="4" t="b">
        <f>IFERROR(__xludf.DUMMYFUNCTION("""COMPUTED_VALUE"""),FALSE)</f>
        <v>0</v>
      </c>
      <c r="D11" s="4" t="b">
        <f>IFERROR(__xludf.DUMMYFUNCTION("""COMPUTED_VALUE"""),TRUE)</f>
        <v>1</v>
      </c>
      <c r="E11" s="4" t="b">
        <f>IFERROR(__xludf.DUMMYFUNCTION("""COMPUTED_VALUE"""),FALSE)</f>
        <v>0</v>
      </c>
      <c r="F11" s="4">
        <f>IFERROR(__xludf.DUMMYFUNCTION("""COMPUTED_VALUE"""),0.0)</f>
        <v>0</v>
      </c>
      <c r="G11" s="4" t="str">
        <f>IFERROR(__xludf.DUMMYFUNCTION("""COMPUTED_VALUE"""),"Disease Antidote")</f>
        <v>Disease Antidote</v>
      </c>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t="b">
        <f>IFERROR(__xludf.DUMMYFUNCTION("""COMPUTED_VALUE"""),FALSE)</f>
        <v>0</v>
      </c>
      <c r="D13" s="4" t="b">
        <f>IFERROR(__xludf.DUMMYFUNCTION("""COMPUTED_VALUE"""),FALSE)</f>
        <v>0</v>
      </c>
      <c r="E13" s="4" t="b">
        <f>IFERROR(__xludf.DUMMYFUNCTION("""COMPUTED_VALUE"""),FALSE)</f>
        <v>0</v>
      </c>
      <c r="F13" s="4"/>
      <c r="G13" s="4"/>
      <c r="H13" s="4"/>
      <c r="I13" s="4"/>
      <c r="J13" s="4"/>
      <c r="K13" s="4"/>
      <c r="L13" s="4"/>
      <c r="M13" s="4"/>
      <c r="N13" s="4"/>
      <c r="O13" s="4"/>
      <c r="P13" s="4"/>
      <c r="Q13" s="4"/>
      <c r="R13" s="4"/>
      <c r="S13" s="4"/>
      <c r="T13" s="4"/>
      <c r="U13" s="4"/>
      <c r="V13" s="4"/>
      <c r="W13" s="4"/>
      <c r="X13" s="4"/>
    </row>
    <row r="14">
      <c r="A14" s="4"/>
      <c r="B14" s="4"/>
      <c r="C14" s="4" t="b">
        <f>IFERROR(__xludf.DUMMYFUNCTION("""COMPUTED_VALUE"""),FALSE)</f>
        <v>0</v>
      </c>
      <c r="D14" s="4" t="b">
        <f>IFERROR(__xludf.DUMMYFUNCTION("""COMPUTED_VALUE"""),FALSE)</f>
        <v>0</v>
      </c>
      <c r="E14" s="4" t="b">
        <f>IFERROR(__xludf.DUMMYFUNCTION("""COMPUTED_VALUE"""),FALSE)</f>
        <v>0</v>
      </c>
      <c r="F14" s="4"/>
      <c r="G14" s="4"/>
      <c r="H14" s="4"/>
      <c r="I14" s="4"/>
      <c r="J14" s="4"/>
      <c r="K14" s="4"/>
      <c r="L14" s="4"/>
      <c r="M14" s="4"/>
      <c r="N14" s="4"/>
      <c r="O14" s="4"/>
      <c r="P14" s="4"/>
      <c r="Q14" s="4"/>
      <c r="R14" s="4"/>
      <c r="S14" s="4"/>
      <c r="T14" s="4"/>
      <c r="U14" s="4"/>
      <c r="V14" s="4"/>
      <c r="W14" s="4"/>
      <c r="X14" s="4"/>
    </row>
    <row r="15">
      <c r="A15" s="4"/>
      <c r="B15" s="4"/>
      <c r="C15" s="4" t="b">
        <f>IFERROR(__xludf.DUMMYFUNCTION("""COMPUTED_VALUE"""),FALSE)</f>
        <v>0</v>
      </c>
      <c r="D15" s="4" t="b">
        <f>IFERROR(__xludf.DUMMYFUNCTION("""COMPUTED_VALUE"""),FALSE)</f>
        <v>0</v>
      </c>
      <c r="E15" s="4" t="b">
        <f>IFERROR(__xludf.DUMMYFUNCTION("""COMPUTED_VALUE"""),FALSE)</f>
        <v>0</v>
      </c>
      <c r="F15" s="4"/>
      <c r="G15" s="4"/>
      <c r="H15" s="4"/>
      <c r="I15" s="4"/>
      <c r="J15" s="4"/>
      <c r="K15" s="4"/>
      <c r="L15" s="4"/>
      <c r="M15" s="4"/>
      <c r="N15" s="4"/>
      <c r="O15" s="4"/>
      <c r="P15" s="4"/>
      <c r="Q15" s="4"/>
      <c r="R15" s="4"/>
      <c r="S15" s="4"/>
      <c r="T15" s="4"/>
      <c r="U15" s="4"/>
      <c r="V15" s="4"/>
      <c r="W15" s="4"/>
      <c r="X15" s="4"/>
    </row>
    <row r="16">
      <c r="A16" s="4"/>
      <c r="B16" s="4"/>
      <c r="C16" s="4" t="b">
        <f>IFERROR(__xludf.DUMMYFUNCTION("""COMPUTED_VALUE"""),FALSE)</f>
        <v>0</v>
      </c>
      <c r="D16" s="4" t="b">
        <f>IFERROR(__xludf.DUMMYFUNCTION("""COMPUTED_VALUE"""),FALSE)</f>
        <v>0</v>
      </c>
      <c r="E16" s="4" t="b">
        <f>IFERROR(__xludf.DUMMYFUNCTION("""COMPUTED_VALUE"""),FALSE)</f>
        <v>0</v>
      </c>
      <c r="F16" s="4"/>
      <c r="G16" s="4"/>
      <c r="H16" s="4"/>
      <c r="I16" s="4"/>
      <c r="J16" s="4"/>
      <c r="K16" s="4"/>
      <c r="L16" s="4"/>
      <c r="M16" s="4"/>
      <c r="N16" s="4"/>
      <c r="O16" s="4"/>
      <c r="P16" s="4"/>
      <c r="Q16" s="4"/>
      <c r="R16" s="4"/>
      <c r="S16" s="4"/>
      <c r="T16" s="4"/>
      <c r="U16" s="4"/>
      <c r="V16" s="4"/>
      <c r="W16" s="4"/>
      <c r="X16" s="4"/>
    </row>
    <row r="17">
      <c r="A17" s="4"/>
      <c r="B17" s="4"/>
      <c r="C17" s="4" t="b">
        <f>IFERROR(__xludf.DUMMYFUNCTION("""COMPUTED_VALUE"""),FALSE)</f>
        <v>0</v>
      </c>
      <c r="D17" s="4" t="b">
        <f>IFERROR(__xludf.DUMMYFUNCTION("""COMPUTED_VALUE"""),FALSE)</f>
        <v>0</v>
      </c>
      <c r="E17" s="4" t="b">
        <f>IFERROR(__xludf.DUMMYFUNCTION("""COMPUTED_VALUE"""),FALSE)</f>
        <v>0</v>
      </c>
      <c r="F17" s="4"/>
      <c r="G17" s="4"/>
      <c r="H17" s="4"/>
      <c r="I17" s="4"/>
      <c r="J17" s="4"/>
      <c r="K17" s="4"/>
      <c r="L17" s="4"/>
      <c r="M17" s="4"/>
      <c r="N17" s="4"/>
      <c r="O17" s="4"/>
      <c r="P17" s="4"/>
      <c r="Q17" s="4"/>
      <c r="R17" s="4"/>
      <c r="S17" s="4"/>
      <c r="T17" s="4"/>
      <c r="U17" s="4"/>
      <c r="V17" s="4"/>
      <c r="W17" s="4"/>
      <c r="X17" s="4"/>
    </row>
    <row r="18">
      <c r="A18" s="4"/>
      <c r="B18" s="4"/>
      <c r="C18" s="4" t="b">
        <f>IFERROR(__xludf.DUMMYFUNCTION("""COMPUTED_VALUE"""),FALSE)</f>
        <v>0</v>
      </c>
      <c r="D18" s="4" t="b">
        <f>IFERROR(__xludf.DUMMYFUNCTION("""COMPUTED_VALUE"""),FALSE)</f>
        <v>0</v>
      </c>
      <c r="E18" s="4" t="b">
        <f>IFERROR(__xludf.DUMMYFUNCTION("""COMPUTED_VALUE"""),FALSE)</f>
        <v>0</v>
      </c>
      <c r="F18" s="4"/>
      <c r="G18" s="4"/>
      <c r="H18" s="4"/>
      <c r="I18" s="4"/>
      <c r="J18" s="4"/>
      <c r="K18" s="4"/>
      <c r="L18" s="4"/>
      <c r="M18" s="4"/>
      <c r="N18" s="4"/>
      <c r="O18" s="4"/>
      <c r="P18" s="4"/>
      <c r="Q18" s="4"/>
      <c r="R18" s="4"/>
      <c r="S18" s="4"/>
      <c r="T18" s="4"/>
      <c r="U18" s="4"/>
      <c r="V18" s="4"/>
      <c r="W18" s="4"/>
      <c r="X18" s="4"/>
    </row>
    <row r="19">
      <c r="A19" s="4"/>
      <c r="B19" s="4"/>
      <c r="C19" s="4" t="b">
        <f>IFERROR(__xludf.DUMMYFUNCTION("""COMPUTED_VALUE"""),FALSE)</f>
        <v>0</v>
      </c>
      <c r="D19" s="4" t="b">
        <f>IFERROR(__xludf.DUMMYFUNCTION("""COMPUTED_VALUE"""),FALSE)</f>
        <v>0</v>
      </c>
      <c r="E19" s="4" t="b">
        <f>IFERROR(__xludf.DUMMYFUNCTION("""COMPUTED_VALUE"""),FALSE)</f>
        <v>0</v>
      </c>
      <c r="F19" s="4"/>
      <c r="G19" s="4"/>
      <c r="H19" s="4"/>
      <c r="I19" s="4"/>
      <c r="J19" s="4"/>
      <c r="K19" s="4"/>
      <c r="L19" s="4"/>
      <c r="M19" s="4"/>
      <c r="N19" s="4"/>
      <c r="O19" s="4"/>
      <c r="P19" s="4"/>
      <c r="Q19" s="4"/>
      <c r="R19" s="4"/>
      <c r="S19" s="4"/>
      <c r="T19" s="4"/>
      <c r="U19" s="4"/>
      <c r="V19" s="4"/>
      <c r="W19" s="4"/>
      <c r="X19" s="4"/>
    </row>
    <row r="20">
      <c r="A20" s="4"/>
      <c r="B20" s="4"/>
      <c r="C20" s="4" t="b">
        <f>IFERROR(__xludf.DUMMYFUNCTION("""COMPUTED_VALUE"""),FALSE)</f>
        <v>0</v>
      </c>
      <c r="D20" s="4" t="b">
        <f>IFERROR(__xludf.DUMMYFUNCTION("""COMPUTED_VALUE"""),FALSE)</f>
        <v>0</v>
      </c>
      <c r="E20" s="4" t="b">
        <f>IFERROR(__xludf.DUMMYFUNCTION("""COMPUTED_VALUE"""),FALSE)</f>
        <v>0</v>
      </c>
      <c r="F20" s="4"/>
      <c r="G20" s="4"/>
      <c r="H20" s="4"/>
      <c r="I20" s="4"/>
      <c r="J20" s="4"/>
      <c r="K20" s="4"/>
      <c r="L20" s="4"/>
      <c r="M20" s="4"/>
      <c r="N20" s="4"/>
      <c r="O20" s="4"/>
      <c r="P20" s="4"/>
      <c r="Q20" s="4"/>
      <c r="R20" s="4"/>
      <c r="S20" s="4"/>
      <c r="T20" s="4"/>
      <c r="U20" s="4"/>
      <c r="V20" s="4"/>
      <c r="W20" s="4"/>
      <c r="X20" s="4"/>
    </row>
    <row r="21">
      <c r="A21" s="4"/>
      <c r="B21" s="4"/>
      <c r="C21" s="4" t="b">
        <f>IFERROR(__xludf.DUMMYFUNCTION("""COMPUTED_VALUE"""),FALSE)</f>
        <v>0</v>
      </c>
      <c r="D21" s="4" t="b">
        <f>IFERROR(__xludf.DUMMYFUNCTION("""COMPUTED_VALUE"""),FALSE)</f>
        <v>0</v>
      </c>
      <c r="E21" s="4" t="b">
        <f>IFERROR(__xludf.DUMMYFUNCTION("""COMPUTED_VALUE"""),FALSE)</f>
        <v>0</v>
      </c>
      <c r="F21" s="4"/>
      <c r="G21" s="4"/>
      <c r="H21" s="4"/>
      <c r="I21" s="4"/>
      <c r="J21" s="4"/>
      <c r="K21" s="4"/>
      <c r="L21" s="4"/>
      <c r="M21" s="4"/>
      <c r="N21" s="4"/>
      <c r="O21" s="4"/>
      <c r="P21" s="4"/>
      <c r="Q21" s="4"/>
      <c r="R21" s="4"/>
      <c r="S21" s="4"/>
      <c r="T21" s="4"/>
      <c r="U21" s="4"/>
      <c r="V21" s="4"/>
      <c r="W21" s="4"/>
      <c r="X21" s="4"/>
    </row>
    <row r="22">
      <c r="A22" s="4"/>
      <c r="B22" s="4"/>
      <c r="C22" s="4" t="b">
        <f>IFERROR(__xludf.DUMMYFUNCTION("""COMPUTED_VALUE"""),FALSE)</f>
        <v>0</v>
      </c>
      <c r="D22" s="4" t="b">
        <f>IFERROR(__xludf.DUMMYFUNCTION("""COMPUTED_VALUE"""),FALSE)</f>
        <v>0</v>
      </c>
      <c r="E22" s="4" t="b">
        <f>IFERROR(__xludf.DUMMYFUNCTION("""COMPUTED_VALUE"""),FALSE)</f>
        <v>0</v>
      </c>
      <c r="F22" s="4"/>
      <c r="G22" s="4"/>
      <c r="H22" s="4"/>
      <c r="I22" s="4"/>
      <c r="J22" s="4"/>
      <c r="K22" s="4"/>
      <c r="L22" s="4"/>
      <c r="M22" s="4"/>
      <c r="N22" s="4"/>
      <c r="O22" s="4"/>
      <c r="P22" s="4"/>
      <c r="Q22" s="4"/>
      <c r="R22" s="4"/>
      <c r="S22" s="4"/>
      <c r="T22" s="4"/>
      <c r="U22" s="4"/>
      <c r="V22" s="4"/>
      <c r="W22" s="4"/>
      <c r="X22" s="4"/>
    </row>
    <row r="23">
      <c r="A23" s="4"/>
      <c r="B23" s="4"/>
      <c r="C23" s="4" t="b">
        <f>IFERROR(__xludf.DUMMYFUNCTION("""COMPUTED_VALUE"""),FALSE)</f>
        <v>0</v>
      </c>
      <c r="D23" s="4" t="b">
        <f>IFERROR(__xludf.DUMMYFUNCTION("""COMPUTED_VALUE"""),FALSE)</f>
        <v>0</v>
      </c>
      <c r="E23" s="4" t="b">
        <f>IFERROR(__xludf.DUMMYFUNCTION("""COMPUTED_VALUE"""),FALSE)</f>
        <v>0</v>
      </c>
      <c r="F23" s="4"/>
      <c r="G23" s="4"/>
      <c r="H23" s="4"/>
      <c r="I23" s="4"/>
      <c r="J23" s="4"/>
      <c r="K23" s="4"/>
      <c r="L23" s="4"/>
      <c r="M23" s="4"/>
      <c r="N23" s="4"/>
      <c r="O23" s="4"/>
      <c r="P23" s="4"/>
      <c r="Q23" s="4"/>
      <c r="R23" s="4"/>
      <c r="S23" s="4"/>
      <c r="T23" s="4"/>
      <c r="U23" s="4"/>
      <c r="V23" s="4"/>
      <c r="W23" s="4"/>
      <c r="X23" s="4"/>
    </row>
    <row r="24">
      <c r="A24" s="4"/>
      <c r="B24" s="4"/>
      <c r="C24" s="4" t="b">
        <f>IFERROR(__xludf.DUMMYFUNCTION("""COMPUTED_VALUE"""),FALSE)</f>
        <v>0</v>
      </c>
      <c r="D24" s="4" t="b">
        <f>IFERROR(__xludf.DUMMYFUNCTION("""COMPUTED_VALUE"""),FALSE)</f>
        <v>0</v>
      </c>
      <c r="E24" s="4" t="b">
        <f>IFERROR(__xludf.DUMMYFUNCTION("""COMPUTED_VALUE"""),FALSE)</f>
        <v>0</v>
      </c>
      <c r="F24" s="4"/>
      <c r="G24" s="4"/>
      <c r="H24" s="4"/>
      <c r="I24" s="4"/>
      <c r="J24" s="4"/>
      <c r="K24" s="4"/>
      <c r="L24" s="4"/>
      <c r="M24" s="4"/>
      <c r="N24" s="4"/>
      <c r="O24" s="4"/>
      <c r="P24" s="4"/>
      <c r="Q24" s="4"/>
      <c r="R24" s="4"/>
      <c r="S24" s="4"/>
      <c r="T24" s="4"/>
      <c r="U24" s="4"/>
      <c r="V24" s="4"/>
      <c r="W24" s="4"/>
      <c r="X24" s="4"/>
    </row>
    <row r="25">
      <c r="A25" s="4"/>
      <c r="B25" s="4"/>
      <c r="C25" s="4" t="b">
        <f>IFERROR(__xludf.DUMMYFUNCTION("""COMPUTED_VALUE"""),FALSE)</f>
        <v>0</v>
      </c>
      <c r="D25" s="4" t="b">
        <f>IFERROR(__xludf.DUMMYFUNCTION("""COMPUTED_VALUE"""),FALSE)</f>
        <v>0</v>
      </c>
      <c r="E25" s="4" t="b">
        <f>IFERROR(__xludf.DUMMYFUNCTION("""COMPUTED_VALUE"""),FALSE)</f>
        <v>0</v>
      </c>
      <c r="F25" s="4"/>
      <c r="G25" s="4"/>
      <c r="H25" s="4"/>
      <c r="I25" s="4"/>
      <c r="J25" s="4"/>
      <c r="K25" s="4"/>
      <c r="L25" s="4"/>
      <c r="M25" s="4"/>
      <c r="N25" s="4"/>
      <c r="O25" s="4"/>
      <c r="P25" s="4"/>
      <c r="Q25" s="4"/>
      <c r="R25" s="4"/>
      <c r="S25" s="4"/>
      <c r="T25" s="4"/>
      <c r="U25" s="4"/>
      <c r="V25" s="4"/>
      <c r="W25" s="4"/>
      <c r="X25" s="4"/>
    </row>
    <row r="26">
      <c r="A26" s="4"/>
      <c r="B26" s="4"/>
      <c r="C26" s="4" t="b">
        <f>IFERROR(__xludf.DUMMYFUNCTION("""COMPUTED_VALUE"""),FALSE)</f>
        <v>0</v>
      </c>
      <c r="D26" s="4" t="b">
        <f>IFERROR(__xludf.DUMMYFUNCTION("""COMPUTED_VALUE"""),FALSE)</f>
        <v>0</v>
      </c>
      <c r="E26" s="4" t="b">
        <f>IFERROR(__xludf.DUMMYFUNCTION("""COMPUTED_VALUE"""),FALSE)</f>
        <v>0</v>
      </c>
      <c r="F26" s="4"/>
      <c r="G26" s="4"/>
      <c r="H26" s="4"/>
      <c r="I26" s="4"/>
      <c r="J26" s="4"/>
      <c r="K26" s="4"/>
      <c r="L26" s="4"/>
      <c r="M26" s="4"/>
      <c r="N26" s="4"/>
      <c r="O26" s="4"/>
      <c r="P26" s="4"/>
      <c r="Q26" s="4"/>
      <c r="R26" s="4"/>
      <c r="S26" s="4"/>
      <c r="T26" s="4"/>
      <c r="U26" s="4"/>
      <c r="V26" s="4"/>
      <c r="W26" s="4"/>
      <c r="X26" s="4"/>
    </row>
    <row r="27">
      <c r="A27" s="4"/>
      <c r="B27" s="4"/>
      <c r="C27" s="4" t="b">
        <f>IFERROR(__xludf.DUMMYFUNCTION("""COMPUTED_VALUE"""),FALSE)</f>
        <v>0</v>
      </c>
      <c r="D27" s="4" t="b">
        <f>IFERROR(__xludf.DUMMYFUNCTION("""COMPUTED_VALUE"""),FALSE)</f>
        <v>0</v>
      </c>
      <c r="E27" s="4" t="b">
        <f>IFERROR(__xludf.DUMMYFUNCTION("""COMPUTED_VALUE"""),FALSE)</f>
        <v>0</v>
      </c>
      <c r="F27" s="4"/>
      <c r="G27" s="4"/>
      <c r="H27" s="4"/>
      <c r="I27" s="4"/>
      <c r="J27" s="4"/>
      <c r="K27" s="4"/>
      <c r="L27" s="4"/>
      <c r="M27" s="4"/>
      <c r="N27" s="4"/>
      <c r="O27" s="4"/>
      <c r="P27" s="4"/>
      <c r="Q27" s="4"/>
      <c r="R27" s="4"/>
      <c r="S27" s="4"/>
      <c r="T27" s="4"/>
      <c r="U27" s="4"/>
      <c r="V27" s="4"/>
      <c r="W27" s="4"/>
      <c r="X27" s="4"/>
    </row>
    <row r="28">
      <c r="A28" s="4"/>
      <c r="B28" s="4"/>
      <c r="C28" s="4" t="b">
        <f>IFERROR(__xludf.DUMMYFUNCTION("""COMPUTED_VALUE"""),FALSE)</f>
        <v>0</v>
      </c>
      <c r="D28" s="4" t="b">
        <f>IFERROR(__xludf.DUMMYFUNCTION("""COMPUTED_VALUE"""),FALSE)</f>
        <v>0</v>
      </c>
      <c r="E28" s="4" t="b">
        <f>IFERROR(__xludf.DUMMYFUNCTION("""COMPUTED_VALUE"""),FALSE)</f>
        <v>0</v>
      </c>
      <c r="F28" s="4"/>
      <c r="G28" s="4"/>
      <c r="H28" s="4"/>
      <c r="I28" s="4"/>
      <c r="J28" s="4"/>
      <c r="K28" s="4"/>
      <c r="L28" s="4"/>
      <c r="M28" s="4"/>
      <c r="N28" s="4"/>
      <c r="O28" s="4"/>
      <c r="P28" s="4"/>
      <c r="Q28" s="4"/>
      <c r="R28" s="4"/>
      <c r="S28" s="4"/>
      <c r="T28" s="4"/>
      <c r="U28" s="4"/>
      <c r="V28" s="4"/>
      <c r="W28" s="4"/>
      <c r="X28" s="4"/>
    </row>
    <row r="29">
      <c r="A29" s="4"/>
      <c r="B29" s="4"/>
      <c r="C29" s="4" t="b">
        <f>IFERROR(__xludf.DUMMYFUNCTION("""COMPUTED_VALUE"""),FALSE)</f>
        <v>0</v>
      </c>
      <c r="D29" s="4" t="b">
        <f>IFERROR(__xludf.DUMMYFUNCTION("""COMPUTED_VALUE"""),FALSE)</f>
        <v>0</v>
      </c>
      <c r="E29" s="4" t="b">
        <f>IFERROR(__xludf.DUMMYFUNCTION("""COMPUTED_VALUE"""),FALSE)</f>
        <v>0</v>
      </c>
      <c r="F29" s="4"/>
      <c r="G29" s="4"/>
      <c r="H29" s="4"/>
      <c r="I29" s="4"/>
      <c r="J29" s="4"/>
      <c r="K29" s="4"/>
      <c r="L29" s="4"/>
      <c r="M29" s="4"/>
      <c r="N29" s="4"/>
      <c r="O29" s="4"/>
      <c r="P29" s="4"/>
      <c r="Q29" s="4"/>
      <c r="R29" s="4"/>
      <c r="S29" s="4"/>
      <c r="T29" s="4"/>
      <c r="U29" s="4"/>
      <c r="V29" s="4"/>
      <c r="W29" s="4"/>
      <c r="X29" s="4"/>
    </row>
    <row r="30">
      <c r="A30" s="4"/>
      <c r="B30" s="4"/>
      <c r="C30" s="4" t="b">
        <f>IFERROR(__xludf.DUMMYFUNCTION("""COMPUTED_VALUE"""),FALSE)</f>
        <v>0</v>
      </c>
      <c r="D30" s="4" t="b">
        <f>IFERROR(__xludf.DUMMYFUNCTION("""COMPUTED_VALUE"""),FALSE)</f>
        <v>0</v>
      </c>
      <c r="E30" s="4" t="b">
        <f>IFERROR(__xludf.DUMMYFUNCTION("""COMPUTED_VALUE"""),FALSE)</f>
        <v>0</v>
      </c>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tr">
        <f>IFERROR(__xludf.DUMMYFUNCTION("VSTACK(QUERY(IMPORTRANGE(""https://docs.google.com/spreadsheets/d/""&amp;Config!B2,""Towns!$A$2:$A""),""Select Col1 where Col1 is not Null"",0),QUERY(IMPORTRANGE(""https://docs.google.com/spreadsheets/d/""&amp;Config!B3,""DB!$A$2:$A""),""Select Col1 where Col1 is"&amp;" not Null"",0))"),"Blackhorn")</f>
        <v>Blackhorn</v>
      </c>
      <c r="E1" s="2"/>
    </row>
    <row r="2">
      <c r="A2" s="4" t="str">
        <f>IFERROR(__xludf.DUMMYFUNCTION("""COMPUTED_VALUE"""),"Chaotic Seas")</f>
        <v>Chaotic Seas</v>
      </c>
    </row>
    <row r="3">
      <c r="A3" s="4" t="str">
        <f>IFERROR(__xludf.DUMMYFUNCTION("""COMPUTED_VALUE"""),"Civille")</f>
        <v>Civille</v>
      </c>
    </row>
    <row r="4">
      <c r="A4" s="4" t="str">
        <f>IFERROR(__xludf.DUMMYFUNCTION("""COMPUTED_VALUE"""),"Crystal Cave")</f>
        <v>Crystal Cave</v>
      </c>
    </row>
    <row r="5">
      <c r="A5" s="4" t="str">
        <f>IFERROR(__xludf.DUMMYFUNCTION("""COMPUTED_VALUE"""),"Cursed Iceland")</f>
        <v>Cursed Iceland</v>
      </c>
    </row>
    <row r="6">
      <c r="A6" s="4" t="str">
        <f>IFERROR(__xludf.DUMMYFUNCTION("""COMPUTED_VALUE"""),"Dead Forest")</f>
        <v>Dead Forest</v>
      </c>
    </row>
    <row r="7">
      <c r="A7" s="4" t="str">
        <f>IFERROR(__xludf.DUMMYFUNCTION("""COMPUTED_VALUE"""),"Desert island")</f>
        <v>Desert island</v>
      </c>
    </row>
    <row r="8">
      <c r="A8" s="4" t="str">
        <f>IFERROR(__xludf.DUMMYFUNCTION("""COMPUTED_VALUE"""),"Docile Plains")</f>
        <v>Docile Plains</v>
      </c>
    </row>
    <row r="9">
      <c r="A9" s="4" t="str">
        <f>IFERROR(__xludf.DUMMYFUNCTION("""COMPUTED_VALUE"""),"Dryland Desert")</f>
        <v>Dryland Desert</v>
      </c>
    </row>
    <row r="10">
      <c r="A10" s="4" t="str">
        <f>IFERROR(__xludf.DUMMYFUNCTION("""COMPUTED_VALUE"""),"Dryland Mesa")</f>
        <v>Dryland Mesa</v>
      </c>
    </row>
    <row r="11">
      <c r="A11" s="4" t="str">
        <f>IFERROR(__xludf.DUMMYFUNCTION("""COMPUTED_VALUE"""),"Fertile Plains")</f>
        <v>Fertile Plains</v>
      </c>
    </row>
    <row r="12">
      <c r="A12" s="4" t="str">
        <f>IFERROR(__xludf.DUMMYFUNCTION("""COMPUTED_VALUE"""),"Fire Tiki Mountain")</f>
        <v>Fire Tiki Mountain</v>
      </c>
    </row>
    <row r="13">
      <c r="A13" s="4" t="str">
        <f>IFERROR(__xludf.DUMMYFUNCTION("""COMPUTED_VALUE"""),"Forest View")</f>
        <v>Forest View</v>
      </c>
    </row>
    <row r="14">
      <c r="A14" s="4" t="str">
        <f>IFERROR(__xludf.DUMMYFUNCTION("""COMPUTED_VALUE"""),"Foul Night Swamp")</f>
        <v>Foul Night Swamp</v>
      </c>
    </row>
    <row r="15">
      <c r="A15" s="4" t="str">
        <f>IFERROR(__xludf.DUMMYFUNCTION("""COMPUTED_VALUE"""),"Northern Frozen Terrain")</f>
        <v>Northern Frozen Terrain</v>
      </c>
    </row>
    <row r="16">
      <c r="A16" s="4" t="str">
        <f>IFERROR(__xludf.DUMMYFUNCTION("""COMPUTED_VALUE"""),"Eastern Frozen Terrain")</f>
        <v>Eastern Frozen Terrain</v>
      </c>
    </row>
    <row r="17">
      <c r="A17" s="4" t="str">
        <f>IFERROR(__xludf.DUMMYFUNCTION("""COMPUTED_VALUE"""),"Western Frozen Terrain")</f>
        <v>Western Frozen Terrain</v>
      </c>
    </row>
    <row r="18">
      <c r="A18" s="4" t="str">
        <f>IFERROR(__xludf.DUMMYFUNCTION("""COMPUTED_VALUE"""),"Frozen Forest (Southern Frozen Terrain)")</f>
        <v>Frozen Forest (Southern Frozen Terrain)</v>
      </c>
    </row>
    <row r="19">
      <c r="A19" s="4" t="str">
        <f>IFERROR(__xludf.DUMMYFUNCTION("""COMPUTED_VALUE"""),"Hallowtown ")</f>
        <v>Hallowtown </v>
      </c>
    </row>
    <row r="20">
      <c r="A20" s="4" t="str">
        <f>IFERROR(__xludf.DUMMYFUNCTION("""COMPUTED_VALUE"""),"Heatmore Jungle")</f>
        <v>Heatmore Jungle</v>
      </c>
    </row>
    <row r="21">
      <c r="A21" s="4" t="str">
        <f>IFERROR(__xludf.DUMMYFUNCTION("""COMPUTED_VALUE"""),"Jungle Of Miss Direction")</f>
        <v>Jungle Of Miss Direction</v>
      </c>
    </row>
    <row r="22">
      <c r="A22" s="4" t="str">
        <f>IFERROR(__xludf.DUMMYFUNCTION("""COMPUTED_VALUE"""),"Jungle Of Shadows")</f>
        <v>Jungle Of Shadows</v>
      </c>
    </row>
    <row r="23">
      <c r="A23" s="4" t="str">
        <f>IFERROR(__xludf.DUMMYFUNCTION("""COMPUTED_VALUE"""),"Lake Town")</f>
        <v>Lake Town</v>
      </c>
    </row>
    <row r="24">
      <c r="A24" s="4" t="str">
        <f>IFERROR(__xludf.DUMMYFUNCTION("""COMPUTED_VALUE"""),"Mekana")</f>
        <v>Mekana</v>
      </c>
    </row>
    <row r="25">
      <c r="A25" s="4" t="str">
        <f>IFERROR(__xludf.DUMMYFUNCTION("""COMPUTED_VALUE"""),"Mountains Of Peace And Harmony")</f>
        <v>Mountains Of Peace And Harmony</v>
      </c>
    </row>
    <row r="26">
      <c r="A26" s="4" t="str">
        <f>IFERROR(__xludf.DUMMYFUNCTION("""COMPUTED_VALUE"""),"Mt. Fury (Locked)")</f>
        <v>Mt. Fury (Locked)</v>
      </c>
    </row>
    <row r="27">
      <c r="A27" s="4" t="str">
        <f>IFERROR(__xludf.DUMMYFUNCTION("""COMPUTED_VALUE"""),"Pond City")</f>
        <v>Pond City</v>
      </c>
    </row>
    <row r="28">
      <c r="A28" s="4" t="str">
        <f>IFERROR(__xludf.DUMMYFUNCTION("""COMPUTED_VALUE"""),"Port Fawn")</f>
        <v>Port Fawn</v>
      </c>
    </row>
    <row r="29">
      <c r="A29" s="4" t="str">
        <f>IFERROR(__xludf.DUMMYFUNCTION("""COMPUTED_VALUE"""),"Royal Woodlands")</f>
        <v>Royal Woodlands</v>
      </c>
    </row>
    <row r="30">
      <c r="A30" s="4" t="str">
        <f>IFERROR(__xludf.DUMMYFUNCTION("""COMPUTED_VALUE"""),"Ruins Of Mana")</f>
        <v>Ruins Of Mana</v>
      </c>
    </row>
    <row r="31">
      <c r="A31" s="4" t="str">
        <f>IFERROR(__xludf.DUMMYFUNCTION("""COMPUTED_VALUE"""),"Ship Graveyard")</f>
        <v>Ship Graveyard</v>
      </c>
    </row>
    <row r="32">
      <c r="A32" s="4" t="str">
        <f>IFERROR(__xludf.DUMMYFUNCTION("""COMPUTED_VALUE"""),"Silence Edge Point")</f>
        <v>Silence Edge Point</v>
      </c>
    </row>
    <row r="33">
      <c r="A33" s="4" t="str">
        <f>IFERROR(__xludf.DUMMYFUNCTION("""COMPUTED_VALUE"""),"Swampville")</f>
        <v>Swampville</v>
      </c>
    </row>
    <row r="34">
      <c r="A34" s="4" t="str">
        <f>IFERROR(__xludf.DUMMYFUNCTION("""COMPUTED_VALUE"""),"Temple Of Dawn")</f>
        <v>Temple Of Dawn</v>
      </c>
    </row>
    <row r="35">
      <c r="A35" s="4" t="str">
        <f>IFERROR(__xludf.DUMMYFUNCTION("""COMPUTED_VALUE"""),"Temple Of The Rising Sun")</f>
        <v>Temple Of The Rising Sun</v>
      </c>
    </row>
    <row r="36">
      <c r="A36" s="4" t="str">
        <f>IFERROR(__xludf.DUMMYFUNCTION("""COMPUTED_VALUE"""),"Temple Of The Rising Moon")</f>
        <v>Temple Of The Rising Moon</v>
      </c>
    </row>
    <row r="37">
      <c r="A37" s="4" t="str">
        <f>IFERROR(__xludf.DUMMYFUNCTION("""COMPUTED_VALUE"""),"Temple Of Dusk")</f>
        <v>Temple Of Dusk</v>
      </c>
    </row>
    <row r="38">
      <c r="A38" s="4" t="str">
        <f>IFERROR(__xludf.DUMMYFUNCTION("""COMPUTED_VALUE"""),"The Corrupt Forest")</f>
        <v>The Corrupt Forest</v>
      </c>
    </row>
    <row r="39">
      <c r="A39" s="4" t="str">
        <f>IFERROR(__xludf.DUMMYFUNCTION("""COMPUTED_VALUE"""),"The Hidden Forest Of Celeste")</f>
        <v>The Hidden Forest Of Celeste</v>
      </c>
    </row>
    <row r="40">
      <c r="A40" s="4" t="str">
        <f>IFERROR(__xludf.DUMMYFUNCTION("""COMPUTED_VALUE"""),"The Red Sands")</f>
        <v>The Red Sands</v>
      </c>
    </row>
    <row r="41">
      <c r="A41" s="4" t="str">
        <f>IFERROR(__xludf.DUMMYFUNCTION("""COMPUTED_VALUE"""),"The Submerged City Of Tritonoch")</f>
        <v>The Submerged City Of Tritonoch</v>
      </c>
    </row>
    <row r="42">
      <c r="A42" s="4" t="str">
        <f>IFERROR(__xludf.DUMMYFUNCTION("""COMPUTED_VALUE"""),"Tower Of Secret Mages")</f>
        <v>Tower Of Secret Mages</v>
      </c>
    </row>
    <row r="43">
      <c r="A43" s="4" t="str">
        <f>IFERROR(__xludf.DUMMYFUNCTION("""COMPUTED_VALUE"""),"WildWood")</f>
        <v>WildWood</v>
      </c>
    </row>
    <row r="44">
      <c r="A44" s="4" t="str">
        <f>IFERROR(__xludf.DUMMYFUNCTION("""COMPUTED_VALUE"""),"The World Tree of Spira")</f>
        <v>The World Tree of Spira</v>
      </c>
    </row>
    <row r="45">
      <c r="A45" s="4" t="str">
        <f>IFERROR(__xludf.DUMMYFUNCTION("""COMPUTED_VALUE"""),"Zhenmay")</f>
        <v>Zhenmay</v>
      </c>
    </row>
    <row r="46">
      <c r="A46" s="4" t="str">
        <f>IFERROR(__xludf.DUMMYFUNCTION("""COMPUTED_VALUE"""),"Abyssville")</f>
        <v>Abyssville</v>
      </c>
    </row>
    <row r="47">
      <c r="A47" s="4" t="str">
        <f>IFERROR(__xludf.DUMMYFUNCTION("""COMPUTED_VALUE"""),"Chaotic Village of Suffering")</f>
        <v>Chaotic Village of Suffering</v>
      </c>
    </row>
    <row r="48">
      <c r="A48" s="4" t="str">
        <f>IFERROR(__xludf.DUMMYFUNCTION("""COMPUTED_VALUE"""),"City of Flames")</f>
        <v>City of Flames</v>
      </c>
    </row>
    <row r="49">
      <c r="A49" s="4" t="str">
        <f>IFERROR(__xludf.DUMMYFUNCTION("""COMPUTED_VALUE"""),"City of Undying")</f>
        <v>City of Undying</v>
      </c>
    </row>
    <row r="50">
      <c r="A50" s="4" t="str">
        <f>IFERROR(__xludf.DUMMYFUNCTION("""COMPUTED_VALUE"""),"Ember Ocean")</f>
        <v>Ember Ocean</v>
      </c>
    </row>
    <row r="51">
      <c r="A51" s="4" t="str">
        <f>IFERROR(__xludf.DUMMYFUNCTION("""COMPUTED_VALUE"""),"Feral Empire")</f>
        <v>Feral Empire</v>
      </c>
    </row>
    <row r="52">
      <c r="A52" s="4" t="str">
        <f>IFERROR(__xludf.DUMMYFUNCTION("""COMPUTED_VALUE"""),"Gargoyle Fortress")</f>
        <v>Gargoyle Fortress</v>
      </c>
    </row>
    <row r="53">
      <c r="A53" s="4" t="str">
        <f>IFERROR(__xludf.DUMMYFUNCTION("""COMPUTED_VALUE"""),"Land of The Banished")</f>
        <v>Land of The Banished</v>
      </c>
    </row>
    <row r="54">
      <c r="A54" s="4" t="str">
        <f>IFERROR(__xludf.DUMMYFUNCTION("""COMPUTED_VALUE"""),"Land of The Demons")</f>
        <v>Land of The Demons</v>
      </c>
    </row>
    <row r="55">
      <c r="A55" s="4" t="str">
        <f>IFERROR(__xludf.DUMMYFUNCTION("""COMPUTED_VALUE"""),"Satanic City")</f>
        <v>Satanic City</v>
      </c>
    </row>
    <row r="56">
      <c r="A56" s="4" t="str">
        <f>IFERROR(__xludf.DUMMYFUNCTION("""COMPUTED_VALUE"""),"Smoldering Ocean")</f>
        <v>Smoldering Ocean</v>
      </c>
    </row>
    <row r="57">
      <c r="A57" s="4" t="str">
        <f>IFERROR(__xludf.DUMMYFUNCTION("""COMPUTED_VALUE"""),"Soul Empire")</f>
        <v>Soul Empire</v>
      </c>
    </row>
    <row r="58">
      <c r="A58" s="4" t="str">
        <f>IFERROR(__xludf.DUMMYFUNCTION("""COMPUTED_VALUE"""),"The Black Lake")</f>
        <v>The Black Lake</v>
      </c>
    </row>
    <row r="59">
      <c r="A59" s="4" t="str">
        <f>IFERROR(__xludf.DUMMYFUNCTION("""COMPUTED_VALUE"""),"The Inferno Lake")</f>
        <v>The Inferno Lake</v>
      </c>
    </row>
    <row r="60">
      <c r="A60" s="4" t="str">
        <f>IFERROR(__xludf.DUMMYFUNCTION("""COMPUTED_VALUE"""),"The Night Region")</f>
        <v>The Night Region</v>
      </c>
    </row>
    <row r="61">
      <c r="A61" s="4" t="str">
        <f>IFERROR(__xludf.DUMMYFUNCTION("""COMPUTED_VALUE"""),"The Nightmare Realm")</f>
        <v>The Nightmare Realm</v>
      </c>
    </row>
    <row r="62">
      <c r="A62" s="4" t="str">
        <f>IFERROR(__xludf.DUMMYFUNCTION("""COMPUTED_VALUE"""),"Cathedral of the Forsaken")</f>
        <v>Cathedral of the Forsaken</v>
      </c>
    </row>
    <row r="63">
      <c r="A63" s="4" t="str">
        <f>IFERROR(__xludf.DUMMYFUNCTION("""COMPUTED_VALUE"""),"The Ancient City of Jinnlar (Currently Unavailable)")</f>
        <v>The Ancient City of Jinnlar (Currently Unavailable)</v>
      </c>
    </row>
    <row r="64">
      <c r="A64" s="4" t="str">
        <f>IFERROR(__xludf.DUMMYFUNCTION("""COMPUTED_VALUE"""),"Chaotic Old Village")</f>
        <v>Chaotic Old Village</v>
      </c>
    </row>
    <row r="65">
      <c r="A65" s="4" t="str">
        <f>IFERROR(__xludf.DUMMYFUNCTION("""COMPUTED_VALUE"""),"Puppet Masters Cave")</f>
        <v>Puppet Masters Cave</v>
      </c>
    </row>
    <row r="66">
      <c r="A66" s="4" t="str">
        <f>IFERROR(__xludf.DUMMYFUNCTION("""COMPUTED_VALUE"""),"Puppet Masters Hedge Maze")</f>
        <v>Puppet Masters Hedge Maze</v>
      </c>
    </row>
    <row r="67">
      <c r="A67" s="4" t="str">
        <f>IFERROR(__xludf.DUMMYFUNCTION("""COMPUTED_VALUE"""),"SerpentScale Village")</f>
        <v>SerpentScale Village</v>
      </c>
    </row>
    <row r="68">
      <c r="A68" s="4" t="str">
        <f>IFERROR(__xludf.DUMMYFUNCTION("""COMPUTED_VALUE"""),"Mouth of The Dragon")</f>
        <v>Mouth of The Dragon</v>
      </c>
    </row>
    <row r="69">
      <c r="A69" s="4" t="str">
        <f>IFERROR(__xludf.DUMMYFUNCTION("""COMPUTED_VALUE"""),"Dragonscale Dungeon")</f>
        <v>Dragonscale Dungeon</v>
      </c>
    </row>
    <row r="70">
      <c r="A70" s="4" t="str">
        <f>IFERROR(__xludf.DUMMYFUNCTION("""COMPUTED_VALUE"""),"Sweltering Salamander Swamp")</f>
        <v>Sweltering Salamander Swamp</v>
      </c>
    </row>
    <row r="71">
      <c r="A71" s="4" t="str">
        <f>IFERROR(__xludf.DUMMYFUNCTION("""COMPUTED_VALUE"""),"Gecko-Tail Passage")</f>
        <v>Gecko-Tail Passage</v>
      </c>
    </row>
    <row r="72">
      <c r="A72" s="4" t="str">
        <f>IFERROR(__xludf.DUMMYFUNCTION("""COMPUTED_VALUE"""),"Wyverntail Waterfalls")</f>
        <v>Wyverntail Waterfalls</v>
      </c>
    </row>
    <row r="73">
      <c r="A73" s="4" t="str">
        <f>IFERROR(__xludf.DUMMYFUNCTION("""COMPUTED_VALUE"""),"Tortoise Shell Island")</f>
        <v>Tortoise Shell Island</v>
      </c>
    </row>
    <row r="74">
      <c r="A74" s="4" t="str">
        <f>IFERROR(__xludf.DUMMYFUNCTION("""COMPUTED_VALUE"""),"Komodo Caverns")</f>
        <v>Komodo Caverns</v>
      </c>
    </row>
    <row r="75">
      <c r="A75" s="4" t="str">
        <f>IFERROR(__xludf.DUMMYFUNCTION("""COMPUTED_VALUE"""),"DragonTear Lake (Eye of The Dragon)")</f>
        <v>DragonTear Lake (Eye of The Dragon)</v>
      </c>
    </row>
    <row r="76">
      <c r="A76" s="4" t="str">
        <f>IFERROR(__xludf.DUMMYFUNCTION("""COMPUTED_VALUE"""),"DragonScale Summit")</f>
        <v>DragonScale Summit</v>
      </c>
    </row>
    <row r="77">
      <c r="A77" s="4" t="str">
        <f>IFERROR(__xludf.DUMMYFUNCTION("""COMPUTED_VALUE"""),"DragonScale Vale")</f>
        <v>DragonScale Vale</v>
      </c>
    </row>
    <row r="78">
      <c r="A78" s="4" t="str">
        <f>IFERROR(__xludf.DUMMYFUNCTION("""COMPUTED_VALUE"""),"DragonScale Grotto")</f>
        <v>DragonScale Grotto</v>
      </c>
    </row>
    <row r="79">
      <c r="A79" s="4" t="str">
        <f>IFERROR(__xludf.DUMMYFUNCTION("""COMPUTED_VALUE"""),"Lava Lizard Lake")</f>
        <v>Lava Lizard Lake</v>
      </c>
    </row>
    <row r="80">
      <c r="A80" s="4" t="str">
        <f>IFERROR(__xludf.DUMMYFUNCTION("""COMPUTED_VALUE"""),"Crypts of the Ancient One")</f>
        <v>Crypts of the Ancient One</v>
      </c>
    </row>
    <row r="81">
      <c r="A81" s="4" t="str">
        <f>IFERROR(__xludf.DUMMYFUNCTION("""COMPUTED_VALUE"""),"DragonScale Arena")</f>
        <v>DragonScale Arena</v>
      </c>
    </row>
    <row r="82">
      <c r="A82" s="4" t="str">
        <f>IFERROR(__xludf.DUMMYFUNCTION("""COMPUTED_VALUE"""),"Thundertail Falls")</f>
        <v>Thundertail Falls</v>
      </c>
    </row>
    <row r="83">
      <c r="A83" s="4" t="str">
        <f>IFERROR(__xludf.DUMMYFUNCTION("""COMPUTED_VALUE"""),"Shimmering Shadow Lake")</f>
        <v>Shimmering Shadow Lake</v>
      </c>
    </row>
    <row r="84">
      <c r="A84" s="4" t="str">
        <f>IFERROR(__xludf.DUMMYFUNCTION("""COMPUTED_VALUE"""),"Silverwood")</f>
        <v>Silverwood</v>
      </c>
    </row>
    <row r="85">
      <c r="A85" s="4" t="str">
        <f>IFERROR(__xludf.DUMMYFUNCTION("""COMPUTED_VALUE"""),"DragonSpire")</f>
        <v>DragonSpire</v>
      </c>
    </row>
    <row r="86">
      <c r="A86" s="4" t="str">
        <f>IFERROR(__xludf.DUMMYFUNCTION("""COMPUTED_VALUE"""),"Watertail Fjord")</f>
        <v>Watertail Fjord</v>
      </c>
    </row>
    <row r="87">
      <c r="A87" s="4" t="str">
        <f>IFERROR(__xludf.DUMMYFUNCTION("""COMPUTED_VALUE"""),"Firetail Mountain")</f>
        <v>Firetail Mountain</v>
      </c>
    </row>
    <row r="88">
      <c r="A88" s="4" t="str">
        <f>IFERROR(__xludf.DUMMYFUNCTION("""COMPUTED_VALUE"""),"The Grand City of Dragonia")</f>
        <v>The Grand City of Dragonia</v>
      </c>
    </row>
    <row r="89">
      <c r="A89" s="4" t="str">
        <f>IFERROR(__xludf.DUMMYFUNCTION("""COMPUTED_VALUE"""),"Fogweb Ninja Village in the Mist")</f>
        <v>Fogweb Ninja Village in the Mist</v>
      </c>
    </row>
    <row r="90">
      <c r="A90" s="4" t="str">
        <f>IFERROR(__xludf.DUMMYFUNCTION("""COMPUTED_VALUE"""),"Mistpeak Ninja Village in the Mountains")</f>
        <v>Mistpeak Ninja Village in the Mountains</v>
      </c>
    </row>
    <row r="91">
      <c r="A91" s="4" t="str">
        <f>IFERROR(__xludf.DUMMYFUNCTION("""COMPUTED_VALUE"""),"Ribbonton Ninja Village in the Trees")</f>
        <v>Ribbonton Ninja Village in the Trees</v>
      </c>
    </row>
    <row r="92">
      <c r="A92" s="4" t="str">
        <f>IFERROR(__xludf.DUMMYFUNCTION("""COMPUTED_VALUE"""),"Sandhopper Oasis Ninja Village in the Desert")</f>
        <v>Sandhopper Oasis Ninja Village in the Desert</v>
      </c>
    </row>
    <row r="93">
      <c r="A93" s="4" t="str">
        <f>IFERROR(__xludf.DUMMYFUNCTION("""COMPUTED_VALUE"""),"Stonecroak Ninja Village in the Quarry")</f>
        <v>Stonecroak Ninja Village in the Quarry</v>
      </c>
    </row>
    <row r="94">
      <c r="A94" s="4" t="str">
        <f>IFERROR(__xludf.DUMMYFUNCTION("""COMPUTED_VALUE"""),"Amphibuki Hideout")</f>
        <v>Amphibuki Hideout</v>
      </c>
    </row>
    <row r="95">
      <c r="A95" s="4" t="str">
        <f>IFERROR(__xludf.DUMMYFUNCTION("""COMPUTED_VALUE"""),"The Magical and Majestic Mountains")</f>
        <v>The Magical and Majestic Mountains</v>
      </c>
    </row>
    <row r="96">
      <c r="A96" s="4" t="str">
        <f>IFERROR(__xludf.DUMMYFUNCTION("""COMPUTED_VALUE"""),"Magical Mountains of Manifestations")</f>
        <v>Magical Mountains of Manifestations</v>
      </c>
    </row>
    <row r="97">
      <c r="A97" s="4" t="str">
        <f>IFERROR(__xludf.DUMMYFUNCTION("""COMPUTED_VALUE"""),"Mountains of War and Dishonor ")</f>
        <v>Mountains of War and Dishonor </v>
      </c>
    </row>
    <row r="98">
      <c r="A98" s="4" t="str">
        <f>IFERROR(__xludf.DUMMYFUNCTION("""COMPUTED_VALUE"""),"Centraria")</f>
        <v>Centraria</v>
      </c>
    </row>
    <row r="99">
      <c r="A99" s="4" t="str">
        <f>IFERROR(__xludf.DUMMYFUNCTION("""COMPUTED_VALUE"""),"The Lost City of Knappadalr")</f>
        <v>The Lost City of Knappadalr</v>
      </c>
    </row>
    <row r="100">
      <c r="A100" s="4" t="str">
        <f>IFERROR(__xludf.DUMMYFUNCTION("""COMPUTED_VALUE"""),"Paradise Island")</f>
        <v>Paradise Island</v>
      </c>
    </row>
    <row r="101">
      <c r="A101" s="4" t="str">
        <f>IFERROR(__xludf.DUMMYFUNCTION("""COMPUTED_VALUE"""),"Pirate's Cove")</f>
        <v>Pirate's Cove</v>
      </c>
    </row>
    <row r="102">
      <c r="A102" s="4" t="str">
        <f>IFERROR(__xludf.DUMMYFUNCTION("""COMPUTED_VALUE"""),"Candy Corn Village")</f>
        <v>Candy Corn Village</v>
      </c>
    </row>
    <row r="103">
      <c r="A103" s="4" t="str">
        <f>IFERROR(__xludf.DUMMYFUNCTION("""COMPUTED_VALUE"""),"Atlotopia")</f>
        <v>Atlotopia</v>
      </c>
    </row>
    <row r="104">
      <c r="A104" s="4" t="str">
        <f>IFERROR(__xludf.DUMMYFUNCTION("""COMPUTED_VALUE"""),"Thanksgiving Island")</f>
        <v>Thanksgiving Island</v>
      </c>
    </row>
    <row r="105">
      <c r="A105" s="4" t="str">
        <f>IFERROR(__xludf.DUMMYFUNCTION("""COMPUTED_VALUE"""),"Halloween Island")</f>
        <v>Halloween Island</v>
      </c>
    </row>
    <row r="106">
      <c r="A106" s="4" t="str">
        <f>IFERROR(__xludf.DUMMYFUNCTION("""COMPUTED_VALUE"""),"The Frozen Island")</f>
        <v>The Frozen Island</v>
      </c>
    </row>
    <row r="107">
      <c r="A107" s="4" t="str">
        <f>IFERROR(__xludf.DUMMYFUNCTION("""COMPUTED_VALUE"""),"Beltane Island")</f>
        <v>Beltane Island</v>
      </c>
    </row>
    <row r="108">
      <c r="A108" s="4" t="str">
        <f>IFERROR(__xludf.DUMMYFUNCTION("""COMPUTED_VALUE"""),"Lughnasadh Island")</f>
        <v>Lughnasadh Island</v>
      </c>
    </row>
    <row r="109">
      <c r="A109" s="4" t="str">
        <f>IFERROR(__xludf.DUMMYFUNCTION("""COMPUTED_VALUE"""),"Stormy Island")</f>
        <v>Stormy Island</v>
      </c>
    </row>
    <row r="110">
      <c r="A110" s="4" t="str">
        <f>IFERROR(__xludf.DUMMYFUNCTION("""COMPUTED_VALUE"""),"Swampy Island")</f>
        <v>Swampy Island</v>
      </c>
    </row>
    <row r="111">
      <c r="A111" s="4" t="str">
        <f>IFERROR(__xludf.DUMMYFUNCTION("""COMPUTED_VALUE"""),"Lunar New Year Island")</f>
        <v>Lunar New Year Island</v>
      </c>
    </row>
    <row r="112">
      <c r="A112" s="4" t="str">
        <f>IFERROR(__xludf.DUMMYFUNCTION("""COMPUTED_VALUE"""),"Wilderness (Spira)")</f>
        <v>Wilderness (Spira)</v>
      </c>
    </row>
    <row r="113">
      <c r="A113" s="4" t="str">
        <f>IFERROR(__xludf.DUMMYFUNCTION("""COMPUTED_VALUE"""),"Wilderness (DragonScale)")</f>
        <v>Wilderness (DragonScale)</v>
      </c>
    </row>
    <row r="114">
      <c r="A114" s="4" t="str">
        <f>IFERROR(__xludf.DUMMYFUNCTION("""COMPUTED_VALUE"""),"Wilderness (Abstara)")</f>
        <v>Wilderness (Abstara)</v>
      </c>
    </row>
    <row r="115">
      <c r="A115" s="4" t="str">
        <f>IFERROR(__xludf.DUMMYFUNCTION("""COMPUTED_VALUE"""),"Wilderness (Solreach)")</f>
        <v>Wilderness (Solreach)</v>
      </c>
    </row>
    <row r="116">
      <c r="A116" s="4" t="str">
        <f>IFERROR(__xludf.DUMMYFUNCTION("""COMPUTED_VALUE"""),"Angel Wing Village")</f>
        <v>Angel Wing Village</v>
      </c>
    </row>
    <row r="117">
      <c r="A117" s="4" t="str">
        <f>IFERROR(__xludf.DUMMYFUNCTION("""COMPUTED_VALUE"""),"Atmos")</f>
        <v>Atmos</v>
      </c>
    </row>
    <row r="118">
      <c r="A118" s="4" t="str">
        <f>IFERROR(__xludf.DUMMYFUNCTION("""COMPUTED_VALUE"""),"Council Grounds")</f>
        <v>Council Grounds</v>
      </c>
    </row>
    <row r="119">
      <c r="A119" s="4" t="str">
        <f>IFERROR(__xludf.DUMMYFUNCTION("""COMPUTED_VALUE"""),"Godsville")</f>
        <v>Godsville</v>
      </c>
    </row>
    <row r="120">
      <c r="A120" s="4" t="str">
        <f>IFERROR(__xludf.DUMMYFUNCTION("""COMPUTED_VALUE"""),"Imperos")</f>
        <v>Imperos</v>
      </c>
    </row>
    <row r="121">
      <c r="A121" s="4" t="str">
        <f>IFERROR(__xludf.DUMMYFUNCTION("""COMPUTED_VALUE"""),"Lower Fortress")</f>
        <v>Lower Fortress</v>
      </c>
    </row>
    <row r="122">
      <c r="A122" s="4" t="str">
        <f>IFERROR(__xludf.DUMMYFUNCTION("""COMPUTED_VALUE"""),"Upper Fortress")</f>
        <v>Upper Fortress</v>
      </c>
    </row>
    <row r="123">
      <c r="A123" s="4" t="str">
        <f>IFERROR(__xludf.DUMMYFUNCTION("""COMPUTED_VALUE"""),"New Circos")</f>
        <v>New Circos</v>
      </c>
    </row>
    <row r="124">
      <c r="A124" s="4" t="str">
        <f>IFERROR(__xludf.DUMMYFUNCTION("""COMPUTED_VALUE"""),"Nova Volaris")</f>
        <v>Nova Volaris</v>
      </c>
    </row>
    <row r="125">
      <c r="A125" s="4" t="str">
        <f>IFERROR(__xludf.DUMMYFUNCTION("""COMPUTED_VALUE"""),"Sonus")</f>
        <v>Sonus</v>
      </c>
    </row>
    <row r="126">
      <c r="A126" s="4" t="str">
        <f>IFERROR(__xludf.DUMMYFUNCTION("""COMPUTED_VALUE"""),"The City of Cetheoth")</f>
        <v>The City of Cetheoth</v>
      </c>
    </row>
    <row r="127">
      <c r="A127" s="4" t="str">
        <f>IFERROR(__xludf.DUMMYFUNCTION("""COMPUTED_VALUE"""),"The City of Ebain")</f>
        <v>The City of Ebain</v>
      </c>
    </row>
    <row r="128">
      <c r="A128" s="4" t="str">
        <f>IFERROR(__xludf.DUMMYFUNCTION("""COMPUTED_VALUE"""),"The City of Nonnaih")</f>
        <v>The City of Nonnaih</v>
      </c>
    </row>
    <row r="129">
      <c r="A129" s="4" t="str">
        <f>IFERROR(__xludf.DUMMYFUNCTION("""COMPUTED_VALUE"""),"The City of Sheopria")</f>
        <v>The City of Sheopria</v>
      </c>
    </row>
    <row r="130">
      <c r="A130" s="4" t="str">
        <f>IFERROR(__xludf.DUMMYFUNCTION("""COMPUTED_VALUE"""),"Ventis")</f>
        <v>Ventis</v>
      </c>
    </row>
    <row r="131">
      <c r="A131" s="4" t="str">
        <f>IFERROR(__xludf.DUMMYFUNCTION("""COMPUTED_VALUE"""),"Volance")</f>
        <v>Volance</v>
      </c>
    </row>
    <row r="132">
      <c r="A132" s="4" t="str">
        <f>IFERROR(__xludf.DUMMYFUNCTION("""COMPUTED_VALUE"""),"Easter Island")</f>
        <v>Easter Island</v>
      </c>
    </row>
    <row r="133">
      <c r="A133" s="4" t="str">
        <f>IFERROR(__xludf.DUMMYFUNCTION("""COMPUTED_VALUE"""),"""Looter (Change Name)""")</f>
        <v>"Looter (Change Name)"</v>
      </c>
    </row>
    <row r="134">
      <c r="A134" s="4" t="str">
        <f>IFERROR(__xludf.DUMMYFUNCTION("""COMPUTED_VALUE"""),"""God of The Sea (Change Name)""")</f>
        <v>"God of The Sea (Change Name)"</v>
      </c>
    </row>
    <row r="135">
      <c r="A135" s="4" t="str">
        <f>IFERROR(__xludf.DUMMYFUNCTION("""COMPUTED_VALUE"""),"""Soul Harvester (Change Name)""")</f>
        <v>"Soul Harvester (Change Name)"</v>
      </c>
    </row>
    <row r="136">
      <c r="A136" s="4" t="str">
        <f>IFERROR(__xludf.DUMMYFUNCTION("""COMPUTED_VALUE"""),"""Spira Guard (Change Name)""")</f>
        <v>"Spira Guard (Change Name)"</v>
      </c>
    </row>
    <row r="137">
      <c r="A137" s="4" t="str">
        <f>IFERROR(__xludf.DUMMYFUNCTION("""COMPUTED_VALUE"""),"""Weapon Strategist (Change Name)""")</f>
        <v>"Weapon Strategist (Change Name)"</v>
      </c>
    </row>
    <row r="138">
      <c r="A138" s="4" t="str">
        <f>IFERROR(__xludf.DUMMYFUNCTION("""COMPUTED_VALUE"""),"""Master Blacksmith (Change Name)""")</f>
        <v>"Master Blacksmith (Change Name)"</v>
      </c>
    </row>
    <row r="139">
      <c r="A139" s="4" t="str">
        <f>IFERROR(__xludf.DUMMYFUNCTION("""COMPUTED_VALUE"""),"""Master of Magic (Change Name)""")</f>
        <v>"Master of Magic (Change Name)"</v>
      </c>
    </row>
    <row r="140">
      <c r="A140" s="4" t="str">
        <f>IFERROR(__xludf.DUMMYFUNCTION("""COMPUTED_VALUE"""),"""Criminal Mastermind (Change Name)""")</f>
        <v>"Criminal Mastermind (Change Name)"</v>
      </c>
    </row>
    <row r="141">
      <c r="A141" s="4" t="str">
        <f>IFERROR(__xludf.DUMMYFUNCTION("""COMPUTED_VALUE"""),"""Skilled Alchemist (Change Name)""")</f>
        <v>"Skilled Alchemist (Change Name)"</v>
      </c>
    </row>
    <row r="142">
      <c r="A142" s="4" t="str">
        <f>IFERROR(__xludf.DUMMYFUNCTION("""COMPUTED_VALUE"""),"""Surpreme Cultist (Change Name)""")</f>
        <v>"Surpreme Cultist (Change Name)"</v>
      </c>
    </row>
    <row r="143">
      <c r="A143" s="4" t="str">
        <f>IFERROR(__xludf.DUMMYFUNCTION("""COMPUTED_VALUE"""),"""Bare-Knuckle Brawler (Change Name)""")</f>
        <v>"Bare-Knuckle Brawler (Change Name)"</v>
      </c>
    </row>
    <row r="144">
      <c r="A144" s="4" t="str">
        <f>IFERROR(__xludf.DUMMYFUNCTION("""COMPUTED_VALUE"""),"""Archer of Swiftness (Change Name)""")</f>
        <v>"Archer of Swiftness (Change Name)"</v>
      </c>
    </row>
    <row r="145">
      <c r="A145" s="4" t="str">
        <f>IFERROR(__xludf.DUMMYFUNCTION("""COMPUTED_VALUE"""),"""Priest of Peace (Change Name)""")</f>
        <v>"Priest of Peace (Change Name)"</v>
      </c>
    </row>
    <row r="146">
      <c r="A146" s="4" t="str">
        <f>IFERROR(__xludf.DUMMYFUNCTION("""COMPUTED_VALUE"""),"""Gunsmith (Change Name)""")</f>
        <v>"Gunsmith (Change Name)"</v>
      </c>
    </row>
    <row r="147">
      <c r="A147" s="4" t="str">
        <f>IFERROR(__xludf.DUMMYFUNCTION("""COMPUTED_VALUE"""),"""Experienced Broker (Change Name)""")</f>
        <v>"Experienced Broker (Change Name)"</v>
      </c>
    </row>
    <row r="148">
      <c r="A148" s="4" t="str">
        <f>IFERROR(__xludf.DUMMYFUNCTION("""COMPUTED_VALUE"""),"""Inspiring Bard (Change Name)""")</f>
        <v>"Inspiring Bard (Change Name)"</v>
      </c>
    </row>
    <row r="149">
      <c r="A149" s="4" t="str">
        <f>IFERROR(__xludf.DUMMYFUNCTION("""COMPUTED_VALUE"""),"""Experienced Breeder (Change Name)""")</f>
        <v>"Experienced Breeder (Change Name)"</v>
      </c>
    </row>
    <row r="150">
      <c r="A150" s="4" t="str">
        <f>IFERROR(__xludf.DUMMYFUNCTION("""COMPUTED_VALUE"""),"""Ninja Ambusher (Change Name)""")</f>
        <v>"Ninja Ambusher (Change Name)"</v>
      </c>
    </row>
    <row r="151">
      <c r="A151" s="4" t="str">
        <f>IFERROR(__xludf.DUMMYFUNCTION("""COMPUTED_VALUE"""),"""Master of Poisons (Change Name)""")</f>
        <v>"Master of Poisons (Change Name)"</v>
      </c>
    </row>
    <row r="152">
      <c r="A152" s="4" t="str">
        <f>IFERROR(__xludf.DUMMYFUNCTION("""COMPUTED_VALUE"""),"""The Necromantic Lord (Change Name)""")</f>
        <v>"The Necromantic Lord (Change Name)"</v>
      </c>
    </row>
    <row r="153">
      <c r="A153" s="4" t="str">
        <f>IFERROR(__xludf.DUMMYFUNCTION("""COMPUTED_VALUE"""),"""Harbinger (Change Name)""")</f>
        <v>"Harbinger (Change Name)"</v>
      </c>
    </row>
    <row r="154">
      <c r="A154" s="4" t="str">
        <f>IFERROR(__xludf.DUMMYFUNCTION("""COMPUTED_VALUE"""),"""Guardian Paladin of Spira (Change Name)""")</f>
        <v>"Guardian Paladin of Spira (Change Name)"</v>
      </c>
    </row>
    <row r="155">
      <c r="A155" s="4" t="str">
        <f>IFERROR(__xludf.DUMMYFUNCTION("""COMPUTED_VALUE"""),"""Pedro Pascel""")</f>
        <v>"Pedro Pascel"</v>
      </c>
    </row>
    <row r="156">
      <c r="A156" s="4" t="str">
        <f>IFERROR(__xludf.DUMMYFUNCTION("""COMPUTED_VALUE"""),"""Corrupt Guard (Change Name)""")</f>
        <v>"Corrupt Guard (Change Name)"</v>
      </c>
    </row>
    <row r="157">
      <c r="A157" s="4" t="str">
        <f>IFERROR(__xludf.DUMMYFUNCTION("""COMPUTED_VALUE"""),"""Durlan Venlar""")</f>
        <v>"Durlan Venlar"</v>
      </c>
    </row>
    <row r="158">
      <c r="A158" s="4" t="str">
        <f>IFERROR(__xludf.DUMMYFUNCTION("""COMPUTED_VALUE"""),"""Revalor Thegella""")</f>
        <v>"Revalor Thegella"</v>
      </c>
    </row>
    <row r="159">
      <c r="A159" s="4" t="str">
        <f>IFERROR(__xludf.DUMMYFUNCTION("""COMPUTED_VALUE"""),"""Zordius""")</f>
        <v>"Zordius"</v>
      </c>
    </row>
    <row r="160">
      <c r="A160" s="4" t="str">
        <f>IFERROR(__xludf.DUMMYFUNCTION("""COMPUTED_VALUE"""),"""Dreadful Roger The lll""")</f>
        <v>"Dreadful Roger The lll"</v>
      </c>
    </row>
    <row r="161">
      <c r="A161" s="4" t="str">
        <f>IFERROR(__xludf.DUMMYFUNCTION("""COMPUTED_VALUE"""),"""Tiberius Thunderthane""")</f>
        <v>"Tiberius Thunderthane"</v>
      </c>
    </row>
    <row r="162">
      <c r="A162" s="4" t="str">
        <f>IFERROR(__xludf.DUMMYFUNCTION("""COMPUTED_VALUE"""),"""mittenz""")</f>
        <v>"mittenz"</v>
      </c>
    </row>
    <row r="163">
      <c r="A163" s="4" t="str">
        <f>IFERROR(__xludf.DUMMYFUNCTION("""COMPUTED_VALUE"""),"""Filia""")</f>
        <v>"Filia"</v>
      </c>
    </row>
    <row r="164">
      <c r="A164" s="4" t="str">
        <f>IFERROR(__xludf.DUMMYFUNCTION("""COMPUTED_VALUE"""),"""Soul Devourer (Change Name)""")</f>
        <v>"Soul Devourer (Change Name)"</v>
      </c>
    </row>
    <row r="165">
      <c r="A165" s="4" t="str">
        <f>IFERROR(__xludf.DUMMYFUNCTION("""COMPUTED_VALUE"""),"""Controller of Minds (Change Name)""")</f>
        <v>"Controller of Minds (Change Name)"</v>
      </c>
    </row>
    <row r="166">
      <c r="A166" s="4" t="str">
        <f>IFERROR(__xludf.DUMMYFUNCTION("""COMPUTED_VALUE"""),"""Priest of Power (Change Name)""")</f>
        <v>"Priest of Power (Change Name)"</v>
      </c>
    </row>
    <row r="167">
      <c r="A167" s="4" t="str">
        <f>IFERROR(__xludf.DUMMYFUNCTION("""COMPUTED_VALUE"""),"""Alucard""")</f>
        <v>"Alucard"</v>
      </c>
    </row>
    <row r="168">
      <c r="A168" s="4" t="str">
        <f>IFERROR(__xludf.DUMMYFUNCTION("""COMPUTED_VALUE"""),"""Guinevere Buchanon""")</f>
        <v>"Guinevere Buchanon"</v>
      </c>
    </row>
    <row r="169">
      <c r="A169" s="4" t="str">
        <f>IFERROR(__xludf.DUMMYFUNCTION("""COMPUTED_VALUE"""),"""ShadowBane""")</f>
        <v>"ShadowBane"</v>
      </c>
    </row>
    <row r="170">
      <c r="A170" s="4" t="str">
        <f>IFERROR(__xludf.DUMMYFUNCTION("""COMPUTED_VALUE"""),"""Zorbane""")</f>
        <v>"Zorbane"</v>
      </c>
    </row>
    <row r="171">
      <c r="A171" s="4" t="str">
        <f>IFERROR(__xludf.DUMMYFUNCTION("""COMPUTED_VALUE"""),"""Adriana""")</f>
        <v>"Adriana"</v>
      </c>
    </row>
    <row r="172">
      <c r="A172" s="4" t="str">
        <f>IFERROR(__xludf.DUMMYFUNCTION("""COMPUTED_VALUE"""),"""Elowen Starwhisper""")</f>
        <v>"Elowen Starwhisper"</v>
      </c>
    </row>
    <row r="173">
      <c r="A173" s="4" t="str">
        <f>IFERROR(__xludf.DUMMYFUNCTION("""COMPUTED_VALUE"""),"""Theowolfe Fjordsong""")</f>
        <v>"Theowolfe Fjordsong"</v>
      </c>
    </row>
    <row r="174">
      <c r="A174" s="4" t="str">
        <f>IFERROR(__xludf.DUMMYFUNCTION("""COMPUTED_VALUE"""),"""Mephistopheles""")</f>
        <v>"Mephistopheles"</v>
      </c>
    </row>
    <row r="175">
      <c r="A175" s="4" t="str">
        <f>IFERROR(__xludf.DUMMYFUNCTION("""COMPUTED_VALUE"""),"""Jinx II""")</f>
        <v>"Jinx II"</v>
      </c>
    </row>
    <row r="176">
      <c r="A176" s="4" t="str">
        <f>IFERROR(__xludf.DUMMYFUNCTION("""COMPUTED_VALUE"""),"""Mr.Click""")</f>
        <v>"Mr.Click"</v>
      </c>
    </row>
    <row r="177">
      <c r="A177" s="4" t="str">
        <f>IFERROR(__xludf.DUMMYFUNCTION("""COMPUTED_VALUE"""),"""Blort""")</f>
        <v>"Blort"</v>
      </c>
    </row>
    <row r="178">
      <c r="A178" s="4" t="str">
        <f>IFERROR(__xludf.DUMMYFUNCTION("""COMPUTED_VALUE"""),"""Dragonian Bard (Change Name)""")</f>
        <v>"Dragonian Bard (Change Name)"</v>
      </c>
    </row>
    <row r="179">
      <c r="A179" s="4" t="str">
        <f>IFERROR(__xludf.DUMMYFUNCTION("""COMPUTED_VALUE"""),"""Draco""")</f>
        <v>"Draco"</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tr">
        <f>IFERROR(__xludf.DUMMYFUNCTION("IMPORTRANGE(""https://docs.google.com/spreadsheets/d/""&amp;Config!$B$1,""Titles!A:AX"")"),"Title")</f>
        <v>Title</v>
      </c>
      <c r="B1" s="8" t="str">
        <f>IFERROR(__xludf.DUMMYFUNCTION("""COMPUTED_VALUE"""),"Description")</f>
        <v>Description</v>
      </c>
      <c r="C1" s="8" t="str">
        <f>IFERROR(__xludf.DUMMYFUNCTION("""COMPUTED_VALUE"""),"Good/Bad")</f>
        <v>Good/Bad</v>
      </c>
      <c r="D1" s="8" t="str">
        <f>IFERROR(__xludf.DUMMYFUNCTION("""COMPUTED_VALUE"""),"Bounty")</f>
        <v>Bounty</v>
      </c>
      <c r="E1" s="8" t="str">
        <f>IFERROR(__xludf.DUMMYFUNCTION("""COMPUTED_VALUE"""),"Town")</f>
        <v>Town</v>
      </c>
      <c r="F1" s="8" t="str">
        <f>IFERROR(__xludf.DUMMYFUNCTION("""COMPUTED_VALUE"""),"Person")</f>
        <v>Person</v>
      </c>
      <c r="G1" s="4"/>
      <c r="H1" s="4"/>
      <c r="I1" s="4"/>
      <c r="J1" s="4"/>
      <c r="K1" s="4"/>
      <c r="L1" s="4"/>
      <c r="M1" s="4"/>
      <c r="N1" s="4"/>
      <c r="O1" s="4"/>
      <c r="P1" s="4"/>
      <c r="Q1" s="4"/>
      <c r="R1" s="4"/>
      <c r="S1" s="4"/>
      <c r="T1" s="4"/>
      <c r="U1" s="4"/>
      <c r="V1" s="4"/>
      <c r="W1" s="4"/>
      <c r="X1" s="4"/>
      <c r="Y1" s="4"/>
      <c r="Z1" s="4"/>
    </row>
    <row r="2">
      <c r="A2" s="4" t="str">
        <f>IFERROR(__xludf.DUMMYFUNCTION("""COMPUTED_VALUE"""),"Gratitude from Swampville")</f>
        <v>Gratitude from Swampville</v>
      </c>
      <c r="B2" s="4" t="str">
        <f>IFERROR(__xludf.DUMMYFUNCTION("""COMPUTED_VALUE"""),"Gain an additional 5 levels from new side quests completed in Swampville")</f>
        <v>Gain an additional 5 levels from new side quests completed in Swampville</v>
      </c>
      <c r="C2" s="4" t="str">
        <f>IFERROR(__xludf.DUMMYFUNCTION("""COMPUTED_VALUE"""),"Good")</f>
        <v>Good</v>
      </c>
      <c r="D2" s="9">
        <f>IFERROR(__xludf.DUMMYFUNCTION("""COMPUTED_VALUE"""),0.0)</f>
        <v>0</v>
      </c>
      <c r="E2" s="4" t="str">
        <f>IFERROR(__xludf.DUMMYFUNCTION("""COMPUTED_VALUE"""),"Swampville")</f>
        <v>Swampville</v>
      </c>
      <c r="F2" s="4"/>
      <c r="G2" s="4"/>
      <c r="H2" s="4"/>
      <c r="I2" s="4"/>
      <c r="J2" s="4"/>
      <c r="K2" s="4"/>
      <c r="L2" s="4"/>
      <c r="M2" s="4"/>
      <c r="N2" s="4"/>
      <c r="O2" s="4"/>
      <c r="P2" s="4"/>
      <c r="Q2" s="4"/>
      <c r="R2" s="4"/>
      <c r="S2" s="4"/>
      <c r="T2" s="4"/>
      <c r="U2" s="4"/>
      <c r="V2" s="4"/>
      <c r="W2" s="4"/>
      <c r="X2" s="4"/>
      <c r="Y2" s="4"/>
      <c r="Z2" s="4"/>
    </row>
    <row r="3">
      <c r="A3" s="4" t="str">
        <f>IFERROR(__xludf.DUMMYFUNCTION("""COMPUTED_VALUE"""),"Silly Goose")</f>
        <v>Silly Goose</v>
      </c>
      <c r="B3" s="4" t="str">
        <f>IFERROR(__xludf.DUMMYFUNCTION("""COMPUTED_VALUE"""),"50% off all items in Mason Dilroys Garbage Shop")</f>
        <v>50% off all items in Mason Dilroys Garbage Shop</v>
      </c>
      <c r="C3" s="4" t="str">
        <f>IFERROR(__xludf.DUMMYFUNCTION("""COMPUTED_VALUE"""),"Good")</f>
        <v>Good</v>
      </c>
      <c r="D3" s="9">
        <f>IFERROR(__xludf.DUMMYFUNCTION("""COMPUTED_VALUE"""),0.0)</f>
        <v>0</v>
      </c>
      <c r="E3" s="4" t="str">
        <f>IFERROR(__xludf.DUMMYFUNCTION("""COMPUTED_VALUE"""),"Mekana")</f>
        <v>Mekana</v>
      </c>
      <c r="F3" s="4"/>
      <c r="G3" s="4"/>
      <c r="H3" s="4"/>
      <c r="I3" s="4"/>
      <c r="J3" s="4"/>
      <c r="K3" s="4"/>
      <c r="L3" s="4"/>
      <c r="M3" s="4"/>
      <c r="N3" s="4"/>
      <c r="O3" s="4"/>
      <c r="P3" s="4"/>
      <c r="Q3" s="4"/>
      <c r="R3" s="4"/>
      <c r="S3" s="4"/>
      <c r="T3" s="4"/>
      <c r="U3" s="4"/>
      <c r="V3" s="4"/>
      <c r="W3" s="4"/>
      <c r="X3" s="4"/>
      <c r="Y3" s="4"/>
      <c r="Z3" s="4"/>
    </row>
    <row r="4">
      <c r="A4" s="4" t="str">
        <f>IFERROR(__xludf.DUMMYFUNCTION("""COMPUTED_VALUE"""),"Most Wanted")</f>
        <v>Most Wanted</v>
      </c>
      <c r="B4" s="4" t="str">
        <f>IFERROR(__xludf.DUMMYFUNCTION("""COMPUTED_VALUE"""),"Highest Bounty on their head.")</f>
        <v>Highest Bounty on their head.</v>
      </c>
      <c r="C4" s="4" t="str">
        <f>IFERROR(__xludf.DUMMYFUNCTION("""COMPUTED_VALUE"""),"Bad")</f>
        <v>Bad</v>
      </c>
      <c r="D4" s="9">
        <f>IFERROR(__xludf.DUMMYFUNCTION("""COMPUTED_VALUE"""),1.0E9)</f>
        <v>1000000000</v>
      </c>
      <c r="E4" s="4"/>
      <c r="F4" s="4" t="str">
        <f>IFERROR(__xludf.DUMMYFUNCTION("""COMPUTED_VALUE"""),"Guards")</f>
        <v>Guards</v>
      </c>
      <c r="G4" s="4"/>
      <c r="H4" s="4"/>
      <c r="I4" s="4"/>
      <c r="J4" s="4"/>
      <c r="K4" s="4"/>
      <c r="L4" s="4"/>
      <c r="M4" s="4"/>
      <c r="N4" s="4"/>
      <c r="O4" s="4"/>
      <c r="P4" s="4"/>
      <c r="Q4" s="4"/>
      <c r="R4" s="4"/>
      <c r="S4" s="4"/>
      <c r="T4" s="4"/>
      <c r="U4" s="4"/>
      <c r="V4" s="4"/>
      <c r="W4" s="4"/>
      <c r="X4" s="4"/>
      <c r="Y4" s="4"/>
      <c r="Z4" s="4"/>
    </row>
    <row r="5">
      <c r="A5" s="4" t="str">
        <f>IFERROR(__xludf.DUMMYFUNCTION("""COMPUTED_VALUE"""),"Bank Robber")</f>
        <v>Bank Robber</v>
      </c>
      <c r="B5" s="4" t="str">
        <f>IFERROR(__xludf.DUMMYFUNCTION("""COMPUTED_VALUE"""),"Robbed a Bank")</f>
        <v>Robbed a Bank</v>
      </c>
      <c r="C5" s="4" t="str">
        <f>IFERROR(__xludf.DUMMYFUNCTION("""COMPUTED_VALUE"""),"Bad")</f>
        <v>Bad</v>
      </c>
      <c r="D5" s="9">
        <f>IFERROR(__xludf.DUMMYFUNCTION("""COMPUTED_VALUE"""),1.0E8)</f>
        <v>100000000</v>
      </c>
      <c r="E5" s="4"/>
      <c r="F5" s="4" t="str">
        <f>IFERROR(__xludf.DUMMYFUNCTION("""COMPUTED_VALUE"""),"Guards")</f>
        <v>Guards</v>
      </c>
      <c r="G5" s="4"/>
      <c r="H5" s="4"/>
      <c r="I5" s="4"/>
      <c r="J5" s="4"/>
      <c r="K5" s="4"/>
      <c r="L5" s="4"/>
      <c r="M5" s="4"/>
      <c r="N5" s="4"/>
      <c r="O5" s="4"/>
      <c r="P5" s="4"/>
      <c r="Q5" s="4"/>
      <c r="R5" s="4"/>
      <c r="S5" s="4"/>
      <c r="T5" s="4"/>
      <c r="U5" s="4"/>
      <c r="V5" s="4"/>
      <c r="W5" s="4"/>
      <c r="X5" s="4"/>
      <c r="Y5" s="4"/>
      <c r="Z5" s="4"/>
    </row>
    <row r="6">
      <c r="A6" s="4" t="str">
        <f>IFERROR(__xludf.DUMMYFUNCTION("""COMPUTED_VALUE"""),"Ninja Master")</f>
        <v>Ninja Master</v>
      </c>
      <c r="B6" s="4" t="str">
        <f>IFERROR(__xludf.DUMMYFUNCTION("""COMPUTED_VALUE"""),"When attacking from concealment with a knife add your mobility to the attack roll
50% off all items in the Ninja village shops")</f>
        <v>When attacking from concealment with a knife add your mobility to the attack roll
50% off all items in the Ninja village shops</v>
      </c>
      <c r="C6" s="4" t="str">
        <f>IFERROR(__xludf.DUMMYFUNCTION("""COMPUTED_VALUE"""),"Good")</f>
        <v>Good</v>
      </c>
      <c r="D6" s="9">
        <f>IFERROR(__xludf.DUMMYFUNCTION("""COMPUTED_VALUE"""),0.0)</f>
        <v>0</v>
      </c>
      <c r="E6" s="4"/>
      <c r="F6" s="4"/>
      <c r="G6" s="4"/>
      <c r="H6" s="4"/>
      <c r="I6" s="4"/>
      <c r="J6" s="4"/>
      <c r="K6" s="4"/>
      <c r="L6" s="4"/>
      <c r="M6" s="4"/>
      <c r="N6" s="4"/>
      <c r="O6" s="4"/>
      <c r="P6" s="4"/>
      <c r="Q6" s="4"/>
      <c r="R6" s="4"/>
      <c r="S6" s="4"/>
      <c r="T6" s="4"/>
      <c r="U6" s="4"/>
      <c r="V6" s="4"/>
      <c r="W6" s="4"/>
      <c r="X6" s="4"/>
      <c r="Y6" s="4"/>
      <c r="Z6" s="4"/>
    </row>
    <row r="7">
      <c r="A7" s="4" t="str">
        <f>IFERROR(__xludf.DUMMYFUNCTION("""COMPUTED_VALUE"""),"People's Trust")</f>
        <v>People's Trust</v>
      </c>
      <c r="B7" s="4" t="str">
        <f>IFERROR(__xludf.DUMMYFUNCTION("""COMPUTED_VALUE"""),"Earn the trust and respect of the people you've saved, who may provide information and assistance in future adventures.")</f>
        <v>Earn the trust and respect of the people you've saved, who may provide information and assistance in future adventures.</v>
      </c>
      <c r="C7" s="4" t="str">
        <f>IFERROR(__xludf.DUMMYFUNCTION("""COMPUTED_VALUE"""),"Good")</f>
        <v>Good</v>
      </c>
      <c r="D7" s="9">
        <f>IFERROR(__xludf.DUMMYFUNCTION("""COMPUTED_VALUE"""),0.0)</f>
        <v>0</v>
      </c>
      <c r="E7" s="4"/>
      <c r="F7" s="4"/>
      <c r="G7" s="4"/>
      <c r="H7" s="4"/>
      <c r="I7" s="4"/>
      <c r="J7" s="4"/>
      <c r="K7" s="4"/>
      <c r="L7" s="4"/>
      <c r="M7" s="4"/>
      <c r="N7" s="4"/>
      <c r="O7" s="4"/>
      <c r="P7" s="4"/>
      <c r="Q7" s="4"/>
      <c r="R7" s="4"/>
      <c r="S7" s="4"/>
      <c r="T7" s="4"/>
      <c r="U7" s="4"/>
      <c r="V7" s="4"/>
      <c r="W7" s="4"/>
      <c r="X7" s="4"/>
      <c r="Y7" s="4"/>
      <c r="Z7" s="4"/>
    </row>
    <row r="8">
      <c r="A8" s="4" t="str">
        <f>IFERROR(__xludf.DUMMYFUNCTION("""COMPUTED_VALUE"""),"Known Thief")</f>
        <v>Known Thief</v>
      </c>
      <c r="B8" s="4" t="str">
        <f>IFERROR(__xludf.DUMMYFUNCTION("""COMPUTED_VALUE"""),"Is known to steal things from people")</f>
        <v>Is known to steal things from people</v>
      </c>
      <c r="C8" s="4" t="str">
        <f>IFERROR(__xludf.DUMMYFUNCTION("""COMPUTED_VALUE"""),"Bad")</f>
        <v>Bad</v>
      </c>
      <c r="D8" s="9">
        <f>IFERROR(__xludf.DUMMYFUNCTION("""COMPUTED_VALUE"""),0.0)</f>
        <v>0</v>
      </c>
      <c r="E8" s="4"/>
      <c r="F8" s="4" t="str">
        <f>IFERROR(__xludf.DUMMYFUNCTION("""COMPUTED_VALUE"""),"Guards")</f>
        <v>Guards</v>
      </c>
      <c r="G8" s="4"/>
      <c r="H8" s="4"/>
      <c r="I8" s="4"/>
      <c r="J8" s="4"/>
      <c r="K8" s="4"/>
      <c r="L8" s="4"/>
      <c r="M8" s="4"/>
      <c r="N8" s="4"/>
      <c r="O8" s="4"/>
      <c r="P8" s="4"/>
      <c r="Q8" s="4"/>
      <c r="R8" s="4"/>
      <c r="S8" s="4"/>
      <c r="T8" s="4"/>
      <c r="U8" s="4"/>
      <c r="V8" s="4"/>
      <c r="W8" s="4"/>
      <c r="X8" s="4"/>
      <c r="Y8" s="4"/>
      <c r="Z8" s="4"/>
    </row>
    <row r="9">
      <c r="A9" s="4" t="str">
        <f>IFERROR(__xludf.DUMMYFUNCTION("""COMPUTED_VALUE"""),"Known Bank Robber")</f>
        <v>Known Bank Robber</v>
      </c>
      <c r="B9" s="4" t="str">
        <f>IFERROR(__xludf.DUMMYFUNCTION("""COMPUTED_VALUE"""),"Is known to try and rob Banks")</f>
        <v>Is known to try and rob Banks</v>
      </c>
      <c r="C9" s="4" t="str">
        <f>IFERROR(__xludf.DUMMYFUNCTION("""COMPUTED_VALUE"""),"Bad")</f>
        <v>Bad</v>
      </c>
      <c r="D9" s="9">
        <f>IFERROR(__xludf.DUMMYFUNCTION("""COMPUTED_VALUE"""),0.0)</f>
        <v>0</v>
      </c>
      <c r="E9" s="4"/>
      <c r="F9" s="4" t="str">
        <f>IFERROR(__xludf.DUMMYFUNCTION("""COMPUTED_VALUE"""),"Guards")</f>
        <v>Guards</v>
      </c>
      <c r="G9" s="4"/>
      <c r="H9" s="4"/>
      <c r="I9" s="4"/>
      <c r="J9" s="4"/>
      <c r="K9" s="4"/>
      <c r="L9" s="4"/>
      <c r="M9" s="4"/>
      <c r="N9" s="4"/>
      <c r="O9" s="4"/>
      <c r="P9" s="4"/>
      <c r="Q9" s="4"/>
      <c r="R9" s="4"/>
      <c r="S9" s="4"/>
      <c r="T9" s="4"/>
      <c r="U9" s="4"/>
      <c r="V9" s="4"/>
      <c r="W9" s="4"/>
      <c r="X9" s="4"/>
      <c r="Y9" s="4"/>
      <c r="Z9" s="4"/>
    </row>
    <row r="10">
      <c r="A10" s="4" t="str">
        <f>IFERROR(__xludf.DUMMYFUNCTION("""COMPUTED_VALUE"""),"Cannibalistic")</f>
        <v>Cannibalistic</v>
      </c>
      <c r="B10" s="4" t="str">
        <f>IFERROR(__xludf.DUMMYFUNCTION("""COMPUTED_VALUE"""),"Is known for eating other party members.")</f>
        <v>Is known for eating other party members.</v>
      </c>
      <c r="C10" s="4" t="str">
        <f>IFERROR(__xludf.DUMMYFUNCTION("""COMPUTED_VALUE"""),"Bad")</f>
        <v>Bad</v>
      </c>
      <c r="D10" s="9">
        <f>IFERROR(__xludf.DUMMYFUNCTION("""COMPUTED_VALUE"""),0.0)</f>
        <v>0</v>
      </c>
      <c r="E10" s="4"/>
      <c r="F10" s="4"/>
      <c r="G10" s="4"/>
      <c r="H10" s="4"/>
      <c r="I10" s="4"/>
      <c r="J10" s="4"/>
      <c r="K10" s="4"/>
      <c r="L10" s="4"/>
      <c r="M10" s="4"/>
      <c r="N10" s="4"/>
      <c r="O10" s="4"/>
      <c r="P10" s="4"/>
      <c r="Q10" s="4"/>
      <c r="R10" s="4"/>
      <c r="S10" s="4"/>
      <c r="T10" s="4"/>
      <c r="U10" s="4"/>
      <c r="V10" s="4"/>
      <c r="W10" s="4"/>
      <c r="X10" s="4"/>
      <c r="Y10" s="4"/>
      <c r="Z10" s="4"/>
    </row>
    <row r="11">
      <c r="A11" s="4" t="str">
        <f>IFERROR(__xludf.DUMMYFUNCTION("""COMPUTED_VALUE"""),"Liberator of the Oppressed")</f>
        <v>Liberator of the Oppressed</v>
      </c>
      <c r="B11" s="4" t="str">
        <f>IFERROR(__xludf.DUMMYFUNCTION("""COMPUTED_VALUE"""),"Known for tirelessly fighting against tyrants and oppressors, this noble figure has become a symbol of freedom and justice. Their actions have inspired hope in the hearts of the downtrodden")</f>
        <v>Known for tirelessly fighting against tyrants and oppressors, this noble figure has become a symbol of freedom and justice. Their actions have inspired hope in the hearts of the downtrodden</v>
      </c>
      <c r="C11" s="4" t="str">
        <f>IFERROR(__xludf.DUMMYFUNCTION("""COMPUTED_VALUE"""),"Good")</f>
        <v>Good</v>
      </c>
      <c r="D11" s="9">
        <f>IFERROR(__xludf.DUMMYFUNCTION("""COMPUTED_VALUE"""),0.0)</f>
        <v>0</v>
      </c>
      <c r="E11" s="4"/>
      <c r="F11" s="4" t="str">
        <f>IFERROR(__xludf.DUMMYFUNCTION("""COMPUTED_VALUE"""),"Lord of Spira")</f>
        <v>Lord of Spira</v>
      </c>
      <c r="G11" s="4"/>
      <c r="H11" s="4"/>
      <c r="I11" s="4"/>
      <c r="J11" s="4"/>
      <c r="K11" s="4"/>
      <c r="L11" s="4"/>
      <c r="M11" s="4"/>
      <c r="N11" s="4"/>
      <c r="O11" s="4"/>
      <c r="P11" s="4"/>
      <c r="Q11" s="4"/>
      <c r="R11" s="4"/>
      <c r="S11" s="4"/>
      <c r="T11" s="4"/>
      <c r="U11" s="4"/>
      <c r="V11" s="4"/>
      <c r="W11" s="4"/>
      <c r="X11" s="4"/>
      <c r="Y11" s="4"/>
      <c r="Z11" s="4"/>
    </row>
    <row r="12">
      <c r="A12" s="4" t="str">
        <f>IFERROR(__xludf.DUMMYFUNCTION("""COMPUTED_VALUE"""),"Harmony's Peacekeeper")</f>
        <v>Harmony's Peacekeeper</v>
      </c>
      <c r="B12" s="4" t="str">
        <f>IFERROR(__xludf.DUMMYFUNCTION("""COMPUTED_VALUE"""),"A diplomat adept at resolving conflicts peacefully, this individual is renowned for their skill in negotiation and mediation. They have played a crucial role in maintaining peace and fostering understanding among different factions and/or guilds.")</f>
        <v>A diplomat adept at resolving conflicts peacefully, this individual is renowned for their skill in negotiation and mediation. They have played a crucial role in maintaining peace and fostering understanding among different factions and/or guilds.</v>
      </c>
      <c r="C12" s="4" t="str">
        <f>IFERROR(__xludf.DUMMYFUNCTION("""COMPUTED_VALUE"""),"Good")</f>
        <v>Good</v>
      </c>
      <c r="D12" s="9">
        <f>IFERROR(__xludf.DUMMYFUNCTION("""COMPUTED_VALUE"""),0.0)</f>
        <v>0</v>
      </c>
      <c r="E12" s="4"/>
      <c r="F12" s="4"/>
      <c r="G12" s="4"/>
      <c r="H12" s="4"/>
      <c r="I12" s="4"/>
      <c r="J12" s="4"/>
      <c r="K12" s="4"/>
      <c r="L12" s="4"/>
      <c r="M12" s="4"/>
      <c r="N12" s="4"/>
      <c r="O12" s="4"/>
      <c r="P12" s="4"/>
      <c r="Q12" s="4"/>
      <c r="R12" s="4"/>
      <c r="S12" s="4"/>
      <c r="T12" s="4"/>
      <c r="U12" s="4"/>
      <c r="V12" s="4"/>
      <c r="W12" s="4"/>
      <c r="X12" s="4"/>
      <c r="Y12" s="4"/>
      <c r="Z12" s="4"/>
    </row>
    <row r="13">
      <c r="A13" s="4" t="str">
        <f>IFERROR(__xludf.DUMMYFUNCTION("""COMPUTED_VALUE"""),"Aegis of Compassion")</f>
        <v>Aegis of Compassion</v>
      </c>
      <c r="B13" s="4" t="str">
        <f>IFERROR(__xludf.DUMMYFUNCTION("""COMPUTED_VALUE"""),"Esteemed for their unwavering compassion, this figure has dedicated their life to helping those in need. Whether healing the sick, sheltering the homeless, or feeding the hungry, their acts of kindness are legendary.")</f>
        <v>Esteemed for their unwavering compassion, this figure has dedicated their life to helping those in need. Whether healing the sick, sheltering the homeless, or feeding the hungry, their acts of kindness are legendary.</v>
      </c>
      <c r="C13" s="4" t="str">
        <f>IFERROR(__xludf.DUMMYFUNCTION("""COMPUTED_VALUE"""),"Good")</f>
        <v>Good</v>
      </c>
      <c r="D13" s="9">
        <f>IFERROR(__xludf.DUMMYFUNCTION("""COMPUTED_VALUE"""),0.0)</f>
        <v>0</v>
      </c>
      <c r="E13" s="4"/>
      <c r="F13" s="4"/>
      <c r="G13" s="4"/>
      <c r="H13" s="4"/>
      <c r="I13" s="4"/>
      <c r="J13" s="4"/>
      <c r="K13" s="4"/>
      <c r="L13" s="4"/>
      <c r="M13" s="4"/>
      <c r="N13" s="4"/>
      <c r="O13" s="4"/>
      <c r="P13" s="4"/>
      <c r="Q13" s="4"/>
      <c r="R13" s="4"/>
      <c r="S13" s="4"/>
      <c r="T13" s="4"/>
      <c r="U13" s="4"/>
      <c r="V13" s="4"/>
      <c r="W13" s="4"/>
      <c r="X13" s="4"/>
      <c r="Y13" s="4"/>
      <c r="Z13" s="4"/>
    </row>
    <row r="14">
      <c r="A14" s="4" t="str">
        <f>IFERROR(__xludf.DUMMYFUNCTION("""COMPUTED_VALUE"""),"Guardian of Nature's Balance")</f>
        <v>Guardian of Nature's Balance</v>
      </c>
      <c r="B14" s="4" t="str">
        <f>IFERROR(__xludf.DUMMYFUNCTION("""COMPUTED_VALUE"""),"A protector of the natural world, this individual is recognized for their efforts in preserving ecosystems and ensuring the balance between civilization and nature. They are often seen as a steward of the environment.")</f>
        <v>A protector of the natural world, this individual is recognized for their efforts in preserving ecosystems and ensuring the balance between civilization and nature. They are often seen as a steward of the environment.</v>
      </c>
      <c r="C14" s="4" t="str">
        <f>IFERROR(__xludf.DUMMYFUNCTION("""COMPUTED_VALUE"""),"Good")</f>
        <v>Good</v>
      </c>
      <c r="D14" s="9">
        <f>IFERROR(__xludf.DUMMYFUNCTION("""COMPUTED_VALUE"""),0.0)</f>
        <v>0</v>
      </c>
      <c r="E14" s="4"/>
      <c r="F14" s="4"/>
      <c r="G14" s="4"/>
      <c r="H14" s="4"/>
      <c r="I14" s="4"/>
      <c r="J14" s="4"/>
      <c r="K14" s="4"/>
      <c r="L14" s="4"/>
      <c r="M14" s="4"/>
      <c r="N14" s="4"/>
      <c r="O14" s="4"/>
      <c r="P14" s="4"/>
      <c r="Q14" s="4"/>
      <c r="R14" s="4"/>
      <c r="S14" s="4"/>
      <c r="T14" s="4"/>
      <c r="U14" s="4"/>
      <c r="V14" s="4"/>
      <c r="W14" s="4"/>
      <c r="X14" s="4"/>
      <c r="Y14" s="4"/>
      <c r="Z14" s="4"/>
    </row>
    <row r="15">
      <c r="A15" s="4" t="str">
        <f>IFERROR(__xludf.DUMMYFUNCTION("""COMPUTED_VALUE"""),"Paragon of Honor")</f>
        <v>Paragon of Honor</v>
      </c>
      <c r="B15" s="4" t="str">
        <f>IFERROR(__xludf.DUMMYFUNCTION("""COMPUTED_VALUE"""),"Upholding a strict code of ethics, this individual is renowned for their unyielding commitment to honor and integrity. Their actions serve as a shining example of righteous behavior in a world filled with moral ambiguity.")</f>
        <v>Upholding a strict code of ethics, this individual is renowned for their unyielding commitment to honor and integrity. Their actions serve as a shining example of righteous behavior in a world filled with moral ambiguity.</v>
      </c>
      <c r="C15" s="4" t="str">
        <f>IFERROR(__xludf.DUMMYFUNCTION("""COMPUTED_VALUE"""),"Good")</f>
        <v>Good</v>
      </c>
      <c r="D15" s="9">
        <f>IFERROR(__xludf.DUMMYFUNCTION("""COMPUTED_VALUE"""),0.0)</f>
        <v>0</v>
      </c>
      <c r="E15" s="4"/>
      <c r="F15" s="4"/>
      <c r="G15" s="4"/>
      <c r="H15" s="4"/>
      <c r="I15" s="4"/>
      <c r="J15" s="4"/>
      <c r="K15" s="4"/>
      <c r="L15" s="4"/>
      <c r="M15" s="4"/>
      <c r="N15" s="4"/>
      <c r="O15" s="4"/>
      <c r="P15" s="4"/>
      <c r="Q15" s="4"/>
      <c r="R15" s="4"/>
      <c r="S15" s="4"/>
      <c r="T15" s="4"/>
      <c r="U15" s="4"/>
      <c r="V15" s="4"/>
      <c r="W15" s="4"/>
      <c r="X15" s="4"/>
      <c r="Y15" s="4"/>
      <c r="Z15" s="4"/>
    </row>
    <row r="16">
      <c r="A16" s="4" t="str">
        <f>IFERROR(__xludf.DUMMYFUNCTION("""COMPUTED_VALUE"""),"Shadowed Puppetmaster")</f>
        <v>Shadowed Puppetmaster</v>
      </c>
      <c r="B16" s="4" t="str">
        <f>IFERROR(__xludf.DUMMYFUNCTION("""COMPUTED_VALUE"""),"Operating from the shadows, this cunning manipulator orchestrates schemes and plots to further their own mysterious agenda. Whispers of their influence spread fear and uncertainty.")</f>
        <v>Operating from the shadows, this cunning manipulator orchestrates schemes and plots to further their own mysterious agenda. Whispers of their influence spread fear and uncertainty.</v>
      </c>
      <c r="C16" s="4" t="str">
        <f>IFERROR(__xludf.DUMMYFUNCTION("""COMPUTED_VALUE"""),"Bad")</f>
        <v>Bad</v>
      </c>
      <c r="D16" s="9">
        <f>IFERROR(__xludf.DUMMYFUNCTION("""COMPUTED_VALUE"""),0.0)</f>
        <v>0</v>
      </c>
      <c r="E16" s="4"/>
      <c r="F16" s="4"/>
      <c r="G16" s="4"/>
      <c r="H16" s="4"/>
      <c r="I16" s="4"/>
      <c r="J16" s="4"/>
      <c r="K16" s="4"/>
      <c r="L16" s="4"/>
      <c r="M16" s="4"/>
      <c r="N16" s="4"/>
      <c r="O16" s="4"/>
      <c r="P16" s="4"/>
      <c r="Q16" s="4"/>
      <c r="R16" s="4"/>
      <c r="S16" s="4"/>
      <c r="T16" s="4"/>
      <c r="U16" s="4"/>
      <c r="V16" s="4"/>
      <c r="W16" s="4"/>
      <c r="X16" s="4"/>
      <c r="Y16" s="4"/>
      <c r="Z16" s="4"/>
    </row>
    <row r="17">
      <c r="A17" s="4" t="str">
        <f>IFERROR(__xludf.DUMMYFUNCTION("""COMPUTED_VALUE"""),"Betrayer of Alliances")</f>
        <v>Betrayer of Alliances</v>
      </c>
      <c r="B17" s="4" t="str">
        <f>IFERROR(__xludf.DUMMYFUNCTION("""COMPUTED_VALUE"""),"Once trusted among allies, this figure has proven to be a turncoat, betraying friendships and alliances for personal gain. Their name is synonymous with deception and treachery.")</f>
        <v>Once trusted among allies, this figure has proven to be a turncoat, betraying friendships and alliances for personal gain. Their name is synonymous with deception and treachery.</v>
      </c>
      <c r="C17" s="4" t="str">
        <f>IFERROR(__xludf.DUMMYFUNCTION("""COMPUTED_VALUE"""),"Bad")</f>
        <v>Bad</v>
      </c>
      <c r="D17" s="9">
        <f>IFERROR(__xludf.DUMMYFUNCTION("""COMPUTED_VALUE"""),0.0)</f>
        <v>0</v>
      </c>
      <c r="E17" s="4"/>
      <c r="F17" s="4"/>
      <c r="G17" s="4"/>
      <c r="H17" s="4"/>
      <c r="I17" s="4"/>
      <c r="J17" s="4"/>
      <c r="K17" s="4"/>
      <c r="L17" s="4"/>
      <c r="M17" s="4"/>
      <c r="N17" s="4"/>
      <c r="O17" s="4"/>
      <c r="P17" s="4"/>
      <c r="Q17" s="4"/>
      <c r="R17" s="4"/>
      <c r="S17" s="4"/>
      <c r="T17" s="4"/>
      <c r="U17" s="4"/>
      <c r="V17" s="4"/>
      <c r="W17" s="4"/>
      <c r="X17" s="4"/>
      <c r="Y17" s="4"/>
      <c r="Z17" s="4"/>
    </row>
    <row r="18">
      <c r="A18" s="4" t="str">
        <f>IFERROR(__xludf.DUMMYFUNCTION("""COMPUTED_VALUE"""),"Malevolent Enchantress")</f>
        <v>Malevolent Enchantress</v>
      </c>
      <c r="B18" s="4" t="str">
        <f>IFERROR(__xludf.DUMMYFUNCTION("""COMPUTED_VALUE"""),"Wielding dark magic and twisted spells, this enchantress is feared for her malevolent sorcery. Rumors swirl of curses and hexes laid upon those who cross her path.")</f>
        <v>Wielding dark magic and twisted spells, this enchantress is feared for her malevolent sorcery. Rumors swirl of curses and hexes laid upon those who cross her path.</v>
      </c>
      <c r="C18" s="4" t="str">
        <f>IFERROR(__xludf.DUMMYFUNCTION("""COMPUTED_VALUE"""),"Bad")</f>
        <v>Bad</v>
      </c>
      <c r="D18" s="9">
        <f>IFERROR(__xludf.DUMMYFUNCTION("""COMPUTED_VALUE"""),0.0)</f>
        <v>0</v>
      </c>
      <c r="E18" s="4"/>
      <c r="F18" s="4"/>
      <c r="G18" s="4"/>
      <c r="H18" s="4"/>
      <c r="I18" s="4"/>
      <c r="J18" s="4"/>
      <c r="K18" s="4"/>
      <c r="L18" s="4"/>
      <c r="M18" s="4"/>
      <c r="N18" s="4"/>
      <c r="O18" s="4"/>
      <c r="P18" s="4"/>
      <c r="Q18" s="4"/>
      <c r="R18" s="4"/>
      <c r="S18" s="4"/>
      <c r="T18" s="4"/>
      <c r="U18" s="4"/>
      <c r="V18" s="4"/>
      <c r="W18" s="4"/>
      <c r="X18" s="4"/>
      <c r="Y18" s="4"/>
      <c r="Z18" s="4"/>
    </row>
    <row r="19">
      <c r="A19" s="4" t="str">
        <f>IFERROR(__xludf.DUMMYFUNCTION("""COMPUTED_VALUE"""),"Corruptor of Virtue")</f>
        <v>Corruptor of Virtue</v>
      </c>
      <c r="B19" s="4" t="str">
        <f>IFERROR(__xludf.DUMMYFUNCTION("""COMPUTED_VALUE"""),"Known for leading others astray, this individual corrupts the virtuous and exploits the weaknesses of those around them. Their presence is a harbinger of moral decay and ethical compromise.")</f>
        <v>Known for leading others astray, this individual corrupts the virtuous and exploits the weaknesses of those around them. Their presence is a harbinger of moral decay and ethical compromise.</v>
      </c>
      <c r="C19" s="4" t="str">
        <f>IFERROR(__xludf.DUMMYFUNCTION("""COMPUTED_VALUE"""),"Bad")</f>
        <v>Bad</v>
      </c>
      <c r="D19" s="9">
        <f>IFERROR(__xludf.DUMMYFUNCTION("""COMPUTED_VALUE"""),0.0)</f>
        <v>0</v>
      </c>
      <c r="E19" s="4"/>
      <c r="F19" s="4"/>
      <c r="G19" s="4"/>
      <c r="H19" s="4"/>
      <c r="I19" s="4"/>
      <c r="J19" s="4"/>
      <c r="K19" s="4"/>
      <c r="L19" s="4"/>
      <c r="M19" s="4"/>
      <c r="N19" s="4"/>
      <c r="O19" s="4"/>
      <c r="P19" s="4"/>
      <c r="Q19" s="4"/>
      <c r="R19" s="4"/>
      <c r="S19" s="4"/>
      <c r="T19" s="4"/>
      <c r="U19" s="4"/>
      <c r="V19" s="4"/>
      <c r="W19" s="4"/>
      <c r="X19" s="4"/>
      <c r="Y19" s="4"/>
      <c r="Z19" s="4"/>
    </row>
    <row r="20">
      <c r="A20" s="4" t="str">
        <f>IFERROR(__xludf.DUMMYFUNCTION("""COMPUTED_VALUE"""),"Scourge of the Innocent")</f>
        <v>Scourge of the Innocent</v>
      </c>
      <c r="B20" s="4" t="str">
        <f>IFERROR(__xludf.DUMMYFUNCTION("""COMPUTED_VALUE"""),"Infamous for preying on the vulnerable, this merciless figure leaves a trail of suffering and despair in their wake. The mere mention of their name strikes fear into the hearts of the innocent.")</f>
        <v>Infamous for preying on the vulnerable, this merciless figure leaves a trail of suffering and despair in their wake. The mere mention of their name strikes fear into the hearts of the innocent.</v>
      </c>
      <c r="C20" s="4" t="str">
        <f>IFERROR(__xludf.DUMMYFUNCTION("""COMPUTED_VALUE"""),"Bad")</f>
        <v>Bad</v>
      </c>
      <c r="D20" s="9">
        <f>IFERROR(__xludf.DUMMYFUNCTION("""COMPUTED_VALUE"""),0.0)</f>
        <v>0</v>
      </c>
      <c r="E20" s="4"/>
      <c r="F20" s="4"/>
      <c r="G20" s="4"/>
      <c r="H20" s="4"/>
      <c r="I20" s="4"/>
      <c r="J20" s="4"/>
      <c r="K20" s="4"/>
      <c r="L20" s="4"/>
      <c r="M20" s="4"/>
      <c r="N20" s="4"/>
      <c r="O20" s="4"/>
      <c r="P20" s="4"/>
      <c r="Q20" s="4"/>
      <c r="R20" s="4"/>
      <c r="S20" s="4"/>
      <c r="T20" s="4"/>
      <c r="U20" s="4"/>
      <c r="V20" s="4"/>
      <c r="W20" s="4"/>
      <c r="X20" s="4"/>
      <c r="Y20" s="4"/>
      <c r="Z20" s="4"/>
    </row>
    <row r="21">
      <c r="A21" s="4" t="str">
        <f>IFERROR(__xludf.DUMMYFUNCTION("""COMPUTED_VALUE"""),"Store Robber")</f>
        <v>Store Robber</v>
      </c>
      <c r="B21" s="4" t="str">
        <f>IFERROR(__xludf.DUMMYFUNCTION("""COMPUTED_VALUE"""),"Robbed a Shop")</f>
        <v>Robbed a Shop</v>
      </c>
      <c r="C21" s="4" t="str">
        <f>IFERROR(__xludf.DUMMYFUNCTION("""COMPUTED_VALUE"""),"Bad")</f>
        <v>Bad</v>
      </c>
      <c r="D21" s="9">
        <f>IFERROR(__xludf.DUMMYFUNCTION("""COMPUTED_VALUE"""),5.0E7)</f>
        <v>50000000</v>
      </c>
      <c r="E21" s="4"/>
      <c r="F21" s="4" t="str">
        <f>IFERROR(__xludf.DUMMYFUNCTION("""COMPUTED_VALUE"""),"Guards")</f>
        <v>Guards</v>
      </c>
      <c r="G21" s="4"/>
      <c r="H21" s="4"/>
      <c r="I21" s="4"/>
      <c r="J21" s="4"/>
      <c r="K21" s="4"/>
      <c r="L21" s="4"/>
      <c r="M21" s="4"/>
      <c r="N21" s="4"/>
      <c r="O21" s="4"/>
      <c r="P21" s="4"/>
      <c r="Q21" s="4"/>
      <c r="R21" s="4"/>
      <c r="S21" s="4"/>
      <c r="T21" s="4"/>
      <c r="U21" s="4"/>
      <c r="V21" s="4"/>
      <c r="W21" s="4"/>
      <c r="X21" s="4"/>
      <c r="Y21" s="4"/>
      <c r="Z21" s="4"/>
    </row>
    <row r="22">
      <c r="A22" s="4" t="str">
        <f>IFERROR(__xludf.DUMMYFUNCTION("""COMPUTED_VALUE"""),"Bourgeoisie Home Owner")</f>
        <v>Bourgeoisie Home Owner</v>
      </c>
      <c r="B22" s="4" t="str">
        <f>IFERROR(__xludf.DUMMYFUNCTION("""COMPUTED_VALUE"""),"Bought a house or shop worth at least 1,000,000,000 Gilders")</f>
        <v>Bought a house or shop worth at least 1,000,000,000 Gilders</v>
      </c>
      <c r="C22" s="4" t="str">
        <f>IFERROR(__xludf.DUMMYFUNCTION("""COMPUTED_VALUE"""),"Good")</f>
        <v>Good</v>
      </c>
      <c r="D22" s="9">
        <f>IFERROR(__xludf.DUMMYFUNCTION("""COMPUTED_VALUE"""),0.0)</f>
        <v>0</v>
      </c>
      <c r="E22" s="4"/>
      <c r="F22" s="4"/>
      <c r="G22" s="4"/>
      <c r="H22" s="4"/>
      <c r="I22" s="4"/>
      <c r="J22" s="4"/>
      <c r="K22" s="4"/>
      <c r="L22" s="4"/>
      <c r="M22" s="4"/>
      <c r="N22" s="4"/>
      <c r="O22" s="4"/>
      <c r="P22" s="4"/>
      <c r="Q22" s="4"/>
      <c r="R22" s="4"/>
      <c r="S22" s="4"/>
      <c r="T22" s="4"/>
      <c r="U22" s="4"/>
      <c r="V22" s="4"/>
      <c r="W22" s="4"/>
      <c r="X22" s="4"/>
      <c r="Y22" s="4"/>
      <c r="Z22" s="4"/>
    </row>
    <row r="23">
      <c r="A23" s="4" t="str">
        <f>IFERROR(__xludf.DUMMYFUNCTION("""COMPUTED_VALUE"""),"Detective Lanford's Gratitude")</f>
        <v>Detective Lanford's Gratitude</v>
      </c>
      <c r="B23" s="4" t="str">
        <f>IFERROR(__xludf.DUMMYFUNCTION("""COMPUTED_VALUE"""),"The city of Mekana recognizes your heroism and investigative skills, earning you respect and gratitude from its residents. Establish a rapport with Detective Lanford, who becomes a valuable contact for future adventures and investigations. He might provid"&amp;"e information, resources, or assistance in the future.")</f>
        <v>The city of Mekana recognizes your heroism and investigative skills, earning you respect and gratitude from its residents. Establish a rapport with Detective Lanford, who becomes a valuable contact for future adventures and investigations. He might provide information, resources, or assistance in the future.</v>
      </c>
      <c r="C23" s="4" t="str">
        <f>IFERROR(__xludf.DUMMYFUNCTION("""COMPUTED_VALUE"""),"Good")</f>
        <v>Good</v>
      </c>
      <c r="D23" s="9">
        <f>IFERROR(__xludf.DUMMYFUNCTION("""COMPUTED_VALUE"""),0.0)</f>
        <v>0</v>
      </c>
      <c r="E23" s="4" t="str">
        <f>IFERROR(__xludf.DUMMYFUNCTION("""COMPUTED_VALUE"""),"Mekana")</f>
        <v>Mekana</v>
      </c>
      <c r="F23" s="4" t="str">
        <f>IFERROR(__xludf.DUMMYFUNCTION("""COMPUTED_VALUE"""),"Detective Lanford")</f>
        <v>Detective Lanford</v>
      </c>
      <c r="G23" s="4"/>
      <c r="H23" s="4"/>
      <c r="I23" s="4"/>
      <c r="J23" s="4"/>
      <c r="K23" s="4"/>
      <c r="L23" s="4"/>
      <c r="M23" s="4"/>
      <c r="N23" s="4"/>
      <c r="O23" s="4"/>
      <c r="P23" s="4"/>
      <c r="Q23" s="4"/>
      <c r="R23" s="4"/>
      <c r="S23" s="4"/>
      <c r="T23" s="4"/>
      <c r="U23" s="4"/>
      <c r="V23" s="4"/>
      <c r="W23" s="4"/>
      <c r="X23" s="4"/>
      <c r="Y23" s="4"/>
      <c r="Z23" s="4"/>
    </row>
    <row r="24">
      <c r="A24" s="4" t="str">
        <f>IFERROR(__xludf.DUMMYFUNCTION("""COMPUTED_VALUE"""),"Dragonia's Gratitude")</f>
        <v>Dragonia's Gratitude</v>
      </c>
      <c r="B24" s="4" t="str">
        <f>IFERROR(__xludf.DUMMYFUNCTION("""COMPUTED_VALUE"""),"The people of Dragonia are immensely grateful for your efforts and may offer monetary rewards, gifts, or discounts on goods and services within the city.
25% off all shops in The Grand City of Dragonia.")</f>
        <v>The people of Dragonia are immensely grateful for your efforts and may offer monetary rewards, gifts, or discounts on goods and services within the city.
25% off all shops in The Grand City of Dragonia.</v>
      </c>
      <c r="C24" s="4" t="str">
        <f>IFERROR(__xludf.DUMMYFUNCTION("""COMPUTED_VALUE"""),"Good")</f>
        <v>Good</v>
      </c>
      <c r="D24" s="9">
        <f>IFERROR(__xludf.DUMMYFUNCTION("""COMPUTED_VALUE"""),0.0)</f>
        <v>0</v>
      </c>
      <c r="E24" s="4" t="str">
        <f>IFERROR(__xludf.DUMMYFUNCTION("""COMPUTED_VALUE"""),"The Grand City of Dragonia")</f>
        <v>The Grand City of Dragonia</v>
      </c>
      <c r="F24" s="4" t="str">
        <f>IFERROR(__xludf.DUMMYFUNCTION("""COMPUTED_VALUE"""),"The Grand City of Dragonia Council")</f>
        <v>The Grand City of Dragonia Council</v>
      </c>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25</v>
      </c>
      <c r="B1" s="3" t="s">
        <v>26</v>
      </c>
      <c r="C1" s="8" t="s">
        <v>11</v>
      </c>
      <c r="D1" s="8" t="s">
        <v>27</v>
      </c>
      <c r="E1" s="8" t="s">
        <v>28</v>
      </c>
      <c r="F1" s="8" t="s">
        <v>29</v>
      </c>
      <c r="G1" s="8" t="s">
        <v>30</v>
      </c>
    </row>
    <row r="2">
      <c r="A2" s="4" t="str">
        <f>IFERROR(__xludf.DUMMYFUNCTION("IFERROR(VSTACK(IFNA(FILTER(Notoriety!A2:G1501,IF(ISBLANK(Notoriety!A2:A1501),FALSE,TRUE))),IFNA(FILTER(SpecialNotoriety!A2:G1501,IF(ISBLANK(SpecialNotoriety!A2:A1501),FALSE,TRUE)))))"),"")</f>
        <v/>
      </c>
    </row>
    <row r="3">
      <c r="A3" s="4"/>
    </row>
  </sheetData>
  <drawing r:id="rId1"/>
</worksheet>
</file>