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shBasket" sheetId="1" r:id="rId4"/>
    <sheet state="visible" name="Fishing" sheetId="2" r:id="rId5"/>
    <sheet state="visible" name="Fishinfo" sheetId="3" r:id="rId6"/>
  </sheets>
  <definedNames/>
  <calcPr/>
</workbook>
</file>

<file path=xl/sharedStrings.xml><?xml version="1.0" encoding="utf-8"?>
<sst xmlns="http://schemas.openxmlformats.org/spreadsheetml/2006/main" count="16" uniqueCount="14">
  <si>
    <t>Amount</t>
  </si>
  <si>
    <t>Fish</t>
  </si>
  <si>
    <t>Value</t>
  </si>
  <si>
    <t>Item Fish had</t>
  </si>
  <si>
    <t>Estimated Value of All Fish</t>
  </si>
  <si>
    <t>Fish D20:</t>
  </si>
  <si>
    <t>Texture D4:</t>
  </si>
  <si>
    <t>Color D12:</t>
  </si>
  <si>
    <t>Rarity D8:</t>
  </si>
  <si>
    <t>Fish Caught</t>
  </si>
  <si>
    <t>Item D20:</t>
  </si>
  <si>
    <t>Auto Gen?</t>
  </si>
  <si>
    <t>Randomize</t>
  </si>
  <si>
    <t>How many Fish?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</si>
</sst>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center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31.88"/>
    <col customWidth="1" min="4" max="4" width="22.63"/>
    <col customWidth="1" min="6" max="6" width="22.5"/>
    <col customWidth="1" min="7" max="7" width="21.13"/>
  </cols>
  <sheetData>
    <row r="1">
      <c r="A1" s="1" t="s">
        <v>0</v>
      </c>
      <c r="B1" s="1" t="s">
        <v>1</v>
      </c>
      <c r="C1" s="1" t="s">
        <v>2</v>
      </c>
      <c r="D1" s="2"/>
      <c r="E1" s="2" t="s">
        <v>3</v>
      </c>
      <c r="F1" s="2" t="s">
        <v>4</v>
      </c>
      <c r="G1" s="2"/>
    </row>
    <row r="2">
      <c r="F2" s="3">
        <f>IFERROR(SUMPRODUCT($A$2:$A1000,$C$2:$C1000),"")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5.75"/>
    <col customWidth="1" min="3" max="3" width="4.88"/>
    <col customWidth="1" min="4" max="4" width="6.0"/>
    <col customWidth="1" min="5" max="5" width="39.63"/>
    <col customWidth="1" min="8" max="8" width="15.38"/>
    <col hidden="1" min="18" max="26" width="12.63"/>
  </cols>
  <sheetData>
    <row r="1">
      <c r="A1" s="4" t="s">
        <v>5</v>
      </c>
      <c r="B1" s="5">
        <v>1.0</v>
      </c>
      <c r="C1" s="6">
        <f>IF($B$7,RANDBETWEEN(1,20),"")</f>
        <v>11</v>
      </c>
      <c r="R1" s="6">
        <f t="shared" ref="R1:Z1" si="1">IF($B$7,RANDBETWEEN(1,20),"")</f>
        <v>10</v>
      </c>
      <c r="S1" s="6">
        <f t="shared" si="1"/>
        <v>20</v>
      </c>
      <c r="T1" s="6">
        <f t="shared" si="1"/>
        <v>4</v>
      </c>
      <c r="U1" s="6">
        <f t="shared" si="1"/>
        <v>19</v>
      </c>
      <c r="V1" s="6">
        <f t="shared" si="1"/>
        <v>16</v>
      </c>
      <c r="W1" s="6">
        <f t="shared" si="1"/>
        <v>19</v>
      </c>
      <c r="X1" s="6">
        <f t="shared" si="1"/>
        <v>13</v>
      </c>
      <c r="Y1" s="6">
        <f t="shared" si="1"/>
        <v>1</v>
      </c>
      <c r="Z1" s="6">
        <f t="shared" si="1"/>
        <v>6</v>
      </c>
    </row>
    <row r="2">
      <c r="A2" s="4" t="s">
        <v>6</v>
      </c>
      <c r="B2" s="5">
        <v>1.0</v>
      </c>
      <c r="C2" s="6">
        <f>IF($B$7,RANDBETWEEN(1,4),"")</f>
        <v>3</v>
      </c>
      <c r="R2" s="6">
        <f t="shared" ref="R2:Z2" si="2">IF($B$7,RANDBETWEEN(1,4),"")</f>
        <v>4</v>
      </c>
      <c r="S2" s="6">
        <f t="shared" si="2"/>
        <v>2</v>
      </c>
      <c r="T2" s="6">
        <f t="shared" si="2"/>
        <v>3</v>
      </c>
      <c r="U2" s="6">
        <f t="shared" si="2"/>
        <v>2</v>
      </c>
      <c r="V2" s="6">
        <f t="shared" si="2"/>
        <v>2</v>
      </c>
      <c r="W2" s="6">
        <f t="shared" si="2"/>
        <v>2</v>
      </c>
      <c r="X2" s="6">
        <f t="shared" si="2"/>
        <v>3</v>
      </c>
      <c r="Y2" s="6">
        <f t="shared" si="2"/>
        <v>3</v>
      </c>
      <c r="Z2" s="6">
        <f t="shared" si="2"/>
        <v>1</v>
      </c>
    </row>
    <row r="3">
      <c r="A3" s="4" t="s">
        <v>7</v>
      </c>
      <c r="B3" s="5">
        <v>1.0</v>
      </c>
      <c r="C3" s="6">
        <f>IF($B$7,RANDBETWEEN(1,12),"")</f>
        <v>5</v>
      </c>
      <c r="R3" s="6">
        <f t="shared" ref="R3:Z3" si="3">IF($B$7,RANDBETWEEN(1,12),"")</f>
        <v>7</v>
      </c>
      <c r="S3" s="6">
        <f t="shared" si="3"/>
        <v>6</v>
      </c>
      <c r="T3" s="6">
        <f t="shared" si="3"/>
        <v>4</v>
      </c>
      <c r="U3" s="6">
        <f t="shared" si="3"/>
        <v>7</v>
      </c>
      <c r="V3" s="6">
        <f t="shared" si="3"/>
        <v>9</v>
      </c>
      <c r="W3" s="6">
        <f t="shared" si="3"/>
        <v>4</v>
      </c>
      <c r="X3" s="6">
        <f t="shared" si="3"/>
        <v>5</v>
      </c>
      <c r="Y3" s="6">
        <f t="shared" si="3"/>
        <v>5</v>
      </c>
      <c r="Z3" s="6">
        <f t="shared" si="3"/>
        <v>4</v>
      </c>
    </row>
    <row r="4">
      <c r="A4" s="4" t="s">
        <v>8</v>
      </c>
      <c r="B4" s="5">
        <v>1.0</v>
      </c>
      <c r="C4" s="6">
        <f>IF($B$7,RANDBETWEEN(1,8),"")</f>
        <v>5</v>
      </c>
      <c r="E4" s="1" t="s">
        <v>9</v>
      </c>
      <c r="F4" s="1" t="s">
        <v>2</v>
      </c>
      <c r="H4" s="1" t="s">
        <v>3</v>
      </c>
      <c r="R4" s="6">
        <f t="shared" ref="R4:Z4" si="4">IF($B$7,RANDBETWEEN(1,8),"")</f>
        <v>3</v>
      </c>
      <c r="S4" s="6">
        <f t="shared" si="4"/>
        <v>8</v>
      </c>
      <c r="T4" s="6">
        <f t="shared" si="4"/>
        <v>2</v>
      </c>
      <c r="U4" s="6">
        <f t="shared" si="4"/>
        <v>8</v>
      </c>
      <c r="V4" s="6">
        <f t="shared" si="4"/>
        <v>8</v>
      </c>
      <c r="W4" s="6">
        <f t="shared" si="4"/>
        <v>1</v>
      </c>
      <c r="X4" s="6">
        <f t="shared" si="4"/>
        <v>2</v>
      </c>
      <c r="Y4" s="6">
        <f t="shared" si="4"/>
        <v>8</v>
      </c>
      <c r="Z4" s="6">
        <f t="shared" si="4"/>
        <v>3</v>
      </c>
    </row>
    <row r="5">
      <c r="A5" s="4" t="s">
        <v>10</v>
      </c>
      <c r="B5" s="5">
        <v>1.0</v>
      </c>
      <c r="C5" s="6">
        <f>IF($B$7,RANDBETWEEN(1,20),"")</f>
        <v>13</v>
      </c>
      <c r="E5" s="6" t="str">
        <f>IF($B$7,VLOOKUP($C$4,Fishinfo!$A$2:$R$21,14,FALSE)&amp;" "&amp;IF($C$2=2,"",VLOOKUP($C$2,Fishinfo!$A$2:$R$21,6,FALSE)&amp;" ")&amp;IF($C$1=3,"",VLOOKUP($C$3,Fishinfo!$A$2:$R$21,10,FALSE)&amp;" ")&amp;VLOOKUP($C$1,Fishinfo!$A$2:$R$21,2,FALSE),VLOOKUP($B$4,Fishinfo!$A$2:$R$21,14,FALSE)&amp;" "&amp;IF($B$2=2,"",VLOOKUP($B$2,Fishinfo!$A$2:$R$21,6,FALSE)&amp;" ")&amp;IF($B$1=3,"",VLOOKUP($B$3,Fishinfo!$A$2:$R$21,10,FALSE)&amp;" ")&amp;VLOOKUP($B$1,Fishinfo!$A$2:$R$21,2,FALSE))</f>
        <v>Very Rare Glowing Red Eel (5 hunger)</v>
      </c>
      <c r="F5" s="6">
        <f>IF($B$7,VLOOKUP($C$1,Fishinfo!$A$2:$R$21,3,FALSE)*VLOOKUP($C$2,Fishinfo!$A$2:$R$21,7,FALSE)*VLOOKUP($C$4,Fishinfo!$A$2:$R$21,15,FALSE),VLOOKUP($B$1,Fishinfo!$A$2:$R$21,3,FALSE)*VLOOKUP($B$2,Fishinfo!$A$2:$R$21,7,FALSE)*VLOOKUP($B$4,Fishinfo!$A$2:$R$21,15,FALSE))</f>
        <v>1200000</v>
      </c>
      <c r="H5" s="6" t="str">
        <f>IF($B$7,VLOOKUP($C$5,Fishinfo!$A$2:$R$21,18,FALSE),VLOOKUP($B$5,Fishinfo!$A$2:$R$21,18,FALSE))</f>
        <v>Water Gem</v>
      </c>
      <c r="R5" s="6">
        <f t="shared" ref="R5:Z5" si="5">IF($B$7,RANDBETWEEN(1,20),"")</f>
        <v>1</v>
      </c>
      <c r="S5" s="6">
        <f t="shared" si="5"/>
        <v>14</v>
      </c>
      <c r="T5" s="6">
        <f t="shared" si="5"/>
        <v>18</v>
      </c>
      <c r="U5" s="6">
        <f t="shared" si="5"/>
        <v>2</v>
      </c>
      <c r="V5" s="6">
        <f t="shared" si="5"/>
        <v>10</v>
      </c>
      <c r="W5" s="6">
        <f t="shared" si="5"/>
        <v>10</v>
      </c>
      <c r="X5" s="6">
        <f t="shared" si="5"/>
        <v>11</v>
      </c>
      <c r="Y5" s="6">
        <f t="shared" si="5"/>
        <v>11</v>
      </c>
      <c r="Z5" s="6">
        <f t="shared" si="5"/>
        <v>20</v>
      </c>
    </row>
    <row r="6">
      <c r="E6" s="6" t="str">
        <f>IF(AND($B$7,$B$11&gt;1),IF($B$7,VLOOKUP($R$4,Fishinfo!$A$2:$R$21,14,FALSE)&amp;" "&amp;IF($R$2=2,"",VLOOKUP($R$2,Fishinfo!$A$2:$R$21,6,FALSE)&amp;" ")&amp;IF($R$1=3,"",VLOOKUP($R$3,Fishinfo!$A$2:$R$21,10,FALSE)&amp;" ")&amp;VLOOKUP($R$1,Fishinfo!$A$2:$R$21,2,FALSE),VLOOKUP($B$4,Fishinfo!$A$2:$R$21,14,FALSE)&amp;" "&amp;IF($B$2=2,"",VLOOKUP($B$2,Fishinfo!$A$2:$R$21,6,FALSE)&amp;" ")&amp;IF($B$1=3,"",VLOOKUP($B$3,Fishinfo!$A$2:$R$21,10,FALSE)&amp;" ")&amp;VLOOKUP($B$1,Fishinfo!$A$2:$R$21,2,FALSE)),"")</f>
        <v>Uncommon Sparkling Purple Crab (5 hunger)</v>
      </c>
      <c r="F6" s="6">
        <f>IF(AND($B$7,$B$11&gt;1),IF($B$7,VLOOKUP($R$1,Fishinfo!$A$2:$R$21,3,FALSE)*VLOOKUP($R$2,Fishinfo!$A$2:$R$21,7,FALSE)*VLOOKUP($R$4,Fishinfo!$A$2:$R$21,15,FALSE),VLOOKUP($B$1,Fishinfo!$A$2:$R$21,3,FALSE)*VLOOKUP($B$2,Fishinfo!$A$2:$R$21,7,FALSE)*VLOOKUP($B$4,Fishinfo!$A$2:$R$21,15,FALSE)),"")</f>
        <v>270000</v>
      </c>
      <c r="H6" s="6" t="str">
        <f>IF(AND($B$7,$B$11&gt;1),IF($B$7,VLOOKUP($R$5,Fishinfo!$A$2:$R$21,18,FALSE),VLOOKUP($B$5,Fishinfo!$A$2:$R$21,18,FALSE)),"")</f>
        <v>Iron Chestplate</v>
      </c>
    </row>
    <row r="7">
      <c r="A7" s="5" t="s">
        <v>11</v>
      </c>
      <c r="B7" s="5" t="b">
        <v>1</v>
      </c>
      <c r="E7" s="6" t="str">
        <f>IF(AND($B$7,$B$11&gt;2),IF($B$7,VLOOKUP($S$4,Fishinfo!$A$2:$R$21,14,FALSE)&amp;" "&amp;IF($S$2=2,"",VLOOKUP($S$2,Fishinfo!$A$2:$R$21,6,FALSE)&amp;" ")&amp;IF($S$1=3,"",VLOOKUP($S$3,Fishinfo!$A$2:$R$21,10,FALSE)&amp;" ")&amp;VLOOKUP($S$1,Fishinfo!$A$2:$R$21,2,FALSE),VLOOKUP($B$4,Fishinfo!$A$2:$R$21,14,FALSE)&amp;" "&amp;IF($B$2=2,"",VLOOKUP($B$2,Fishinfo!$A$2:$R$21,6,FALSE)&amp;" ")&amp;IF($B$1=3,"",VLOOKUP($B$3,Fishinfo!$A$2:$R$21,10,FALSE)&amp;" ")&amp;VLOOKUP($B$1,Fishinfo!$A$2:$R$21,2,FALSE)),"")</f>
        <v>Mythical Pink Whale (25 hunger to all party members)</v>
      </c>
      <c r="F7" s="6">
        <f>IF(AND($B$7,$B$11&gt;2),IF($B$7,VLOOKUP($S$1,Fishinfo!$A$2:$R$21,3,FALSE)*VLOOKUP($S$2,Fishinfo!$A$2:$R$21,7,FALSE)*VLOOKUP($S$4,Fishinfo!$A$2:$R$21,15,FALSE),VLOOKUP($B$1,Fishinfo!$A$2:$R$21,3,FALSE)*VLOOKUP($B$2,Fishinfo!$A$2:$R$21,7,FALSE)*VLOOKUP($B$4,Fishinfo!$A$2:$R$21,15,FALSE)),"")</f>
        <v>1000000</v>
      </c>
      <c r="H7" s="6" t="str">
        <f>IF(AND($B$7,$B$11&gt;2),IF($B$7,VLOOKUP($S$5,Fishinfo!$A$2:$R$21,18,FALSE),VLOOKUP($B$5,Fishinfo!$A$2:$R$21,18,FALSE)),"")</f>
        <v>Turtle Shell</v>
      </c>
    </row>
    <row r="8">
      <c r="E8" s="6" t="str">
        <f>IF(AND($B$7,$B$11&gt;3),IF($B$7,VLOOKUP($T$4,Fishinfo!$A$2:$R$21,14,FALSE)&amp;" "&amp;IF($T$2=2,"",VLOOKUP($T$2,Fishinfo!$A$2:$R$21,6,FALSE)&amp;" ")&amp;IF($T$1=3,"",VLOOKUP($T$3,Fishinfo!$A$2:$R$21,10,FALSE)&amp;" ")&amp;VLOOKUP($T$1,Fishinfo!$A$2:$R$21,2,FALSE),VLOOKUP($B$4,Fishinfo!$A$2:$R$21,14,FALSE)&amp;" "&amp;IF($B$2=2,"",VLOOKUP($B$2,Fishinfo!$A$2:$R$21,6,FALSE)&amp;" ")&amp;IF($B$1=3,"",VLOOKUP($B$3,Fishinfo!$A$2:$R$21,10,FALSE)&amp;" ")&amp;VLOOKUP($B$1,Fishinfo!$A$2:$R$21,2,FALSE)),"")</f>
        <v>Common Glowing Orange Bonefish (5 hunger)</v>
      </c>
      <c r="F8" s="6">
        <f>IF(AND($B$7,$B$11&gt;3),IF($B$7,VLOOKUP($T$1,Fishinfo!$A$2:$R$21,3,FALSE)*VLOOKUP($T$2,Fishinfo!$A$2:$R$21,7,FALSE)*VLOOKUP($T$4,Fishinfo!$A$2:$R$21,15,FALSE),VLOOKUP($B$1,Fishinfo!$A$2:$R$21,3,FALSE)*VLOOKUP($B$2,Fishinfo!$A$2:$R$21,7,FALSE)*VLOOKUP($B$4,Fishinfo!$A$2:$R$21,15,FALSE)),"")</f>
        <v>90000</v>
      </c>
      <c r="H8" s="6" t="str">
        <f>IF(AND($B$7,$B$11&gt;3),IF($B$7,VLOOKUP($T$5,Fishinfo!$A$2:$R$21,18,FALSE),VLOOKUP($B$5,Fishinfo!$A$2:$R$21,18,FALSE)),"")</f>
        <v>Vial of Unknown Liquid</v>
      </c>
    </row>
    <row r="9">
      <c r="A9" s="5" t="s">
        <v>12</v>
      </c>
      <c r="B9" s="5" t="b">
        <v>1</v>
      </c>
      <c r="E9" s="6" t="str">
        <f>IF(AND($B$7,$B$11&gt;4),IF($B$7,VLOOKUP($U$4,Fishinfo!$A$2:$R$21,14,FALSE)&amp;" "&amp;IF($U$2=2,"",VLOOKUP($U$2,Fishinfo!$A$2:$R$21,6,FALSE)&amp;" ")&amp;IF($U$1=3,"",VLOOKUP($U$3,Fishinfo!$A$2:$R$21,10,FALSE)&amp;" ")&amp;VLOOKUP($U$1,Fishinfo!$A$2:$R$21,2,FALSE),VLOOKUP($B$4,Fishinfo!$A$2:$R$21,14,FALSE)&amp;" "&amp;IF($B$2=2,"",VLOOKUP($B$2,Fishinfo!$A$2:$R$21,6,FALSE)&amp;" ")&amp;IF($B$1=3,"",VLOOKUP($B$3,Fishinfo!$A$2:$R$21,10,FALSE)&amp;" ")&amp;VLOOKUP($B$1,Fishinfo!$A$2:$R$21,2,FALSE)),"")</f>
        <v>Mythical Purple Saratoga (5 hunger)</v>
      </c>
      <c r="F9" s="6">
        <f>IF(AND($B$7,$B$11&gt;4),IF($B$7,VLOOKUP($U$1,Fishinfo!$A$2:$R$21,3,FALSE)*VLOOKUP($U$2,Fishinfo!$A$2:$R$21,7,FALSE)*VLOOKUP($U$4,Fishinfo!$A$2:$R$21,15,FALSE),VLOOKUP($B$1,Fishinfo!$A$2:$R$21,3,FALSE)*VLOOKUP($B$2,Fishinfo!$A$2:$R$21,7,FALSE)*VLOOKUP($B$4,Fishinfo!$A$2:$R$21,15,FALSE)),"")</f>
        <v>900000</v>
      </c>
      <c r="H9" s="6" t="str">
        <f>IF(AND($B$7,$B$11&gt;4),IF($B$7,VLOOKUP($U$5,Fishinfo!$A$2:$R$21,18,FALSE),VLOOKUP($B$5,Fishinfo!$A$2:$R$21,18,FALSE)),"")</f>
        <v>Iron Broadsword</v>
      </c>
    </row>
    <row r="10">
      <c r="E10" s="6" t="str">
        <f>IF(AND($B$7,$B$11&gt;5),IF($B$7,VLOOKUP($V$4,Fishinfo!$A$2:$R$21,14,FALSE)&amp;" "&amp;IF($V$2=2,"",VLOOKUP($V$2,Fishinfo!$A$2:$R$21,6,FALSE)&amp;" ")&amp;IF($V$1=3,"",VLOOKUP($V$3,Fishinfo!$A$2:$R$21,10,FALSE)&amp;" ")&amp;VLOOKUP($V$1,Fishinfo!$A$2:$R$21,2,FALSE),VLOOKUP($B$4,Fishinfo!$A$2:$R$21,14,FALSE)&amp;" "&amp;IF($B$2=2,"",VLOOKUP($B$2,Fishinfo!$A$2:$R$21,6,FALSE)&amp;" ")&amp;IF($B$1=3,"",VLOOKUP($B$3,Fishinfo!$A$2:$R$21,10,FALSE)&amp;" ")&amp;VLOOKUP($B$1,Fishinfo!$A$2:$R$21,2,FALSE)),"")</f>
        <v>Mythical Black Paddlefish (5 hunger)</v>
      </c>
      <c r="F10" s="6">
        <f>IF(AND($B$7,$B$11&gt;5),IF($B$7,VLOOKUP($V$1,Fishinfo!$A$2:$R$21,3,FALSE)*VLOOKUP($V$2,Fishinfo!$A$2:$R$21,7,FALSE)*VLOOKUP($V$4,Fishinfo!$A$2:$R$21,15,FALSE),VLOOKUP($B$1,Fishinfo!$A$2:$R$21,3,FALSE)*VLOOKUP($B$2,Fishinfo!$A$2:$R$21,7,FALSE)*VLOOKUP($B$4,Fishinfo!$A$2:$R$21,15,FALSE)),"")</f>
        <v>750000</v>
      </c>
      <c r="H10" s="6" t="str">
        <f>IF(AND($B$7,$B$11&gt;5),IF($B$7,VLOOKUP($V$5,Fishinfo!$A$2:$R$21,18,FALSE),VLOOKUP($B$5,Fishinfo!$A$2:$R$21,18,FALSE)),"")</f>
        <v>Fish Stone</v>
      </c>
    </row>
    <row r="11">
      <c r="A11" s="5" t="s">
        <v>13</v>
      </c>
      <c r="B11" s="5">
        <v>10.0</v>
      </c>
      <c r="E11" s="6" t="str">
        <f>IF(AND($B$7,$B$11&gt;6),IF($B$7,VLOOKUP($W$4,Fishinfo!$A$2:$R$21,14,FALSE)&amp;" "&amp;IF($W$2=2,"",VLOOKUP($W$2,Fishinfo!$A$2:$R$21,6,FALSE)&amp;" ")&amp;IF($W$1=3,"",VLOOKUP($W$3,Fishinfo!$A$2:$R$21,10,FALSE)&amp;" ")&amp;VLOOKUP($W$1,Fishinfo!$A$2:$R$21,2,FALSE),VLOOKUP($B$4,Fishinfo!$A$2:$R$21,14,FALSE)&amp;" "&amp;IF($B$2=2,"",VLOOKUP($B$2,Fishinfo!$A$2:$R$21,6,FALSE)&amp;" ")&amp;IF($B$1=3,"",VLOOKUP($B$3,Fishinfo!$A$2:$R$21,10,FALSE)&amp;" ")&amp;VLOOKUP($B$1,Fishinfo!$A$2:$R$21,2,FALSE)),"")</f>
        <v>Very Common Orange Saratoga (5 hunger)</v>
      </c>
      <c r="F11" s="6">
        <f>IF(AND($B$7,$B$11&gt;6),IF($B$7,VLOOKUP($W$1,Fishinfo!$A$2:$R$21,3,FALSE)*VLOOKUP($W$2,Fishinfo!$A$2:$R$21,7,FALSE)*VLOOKUP($W$4,Fishinfo!$A$2:$R$21,15,FALSE),VLOOKUP($B$1,Fishinfo!$A$2:$R$21,3,FALSE)*VLOOKUP($B$2,Fishinfo!$A$2:$R$21,7,FALSE)*VLOOKUP($B$4,Fishinfo!$A$2:$R$21,15,FALSE)),"")</f>
        <v>45000</v>
      </c>
      <c r="H11" s="6" t="str">
        <f>IF(AND($B$7,$B$11&gt;6),IF($B$7,VLOOKUP($W$5,Fishinfo!$A$2:$R$21,18,FALSE),VLOOKUP($B$5,Fishinfo!$A$2:$R$21,18,FALSE)),"")</f>
        <v>Fish Stone</v>
      </c>
    </row>
    <row r="12">
      <c r="E12" s="6" t="str">
        <f>IF(AND($B$7,$B$11&gt;7),IF($B$7,VLOOKUP($X$4,Fishinfo!$A$2:$R$21,14,FALSE)&amp;" "&amp;IF($X$2=2,"",VLOOKUP($X$2,Fishinfo!$A$2:$R$21,6,FALSE)&amp;" ")&amp;IF($X$1=3,"",VLOOKUP($X$3,Fishinfo!$A$2:$R$21,10,FALSE)&amp;" ")&amp;VLOOKUP($X$1,Fishinfo!$A$2:$R$21,2,FALSE),VLOOKUP($B$4,Fishinfo!$A$2:$R$21,14,FALSE)&amp;" "&amp;IF($B$2=2,"",VLOOKUP($B$2,Fishinfo!$A$2:$R$21,6,FALSE)&amp;" ")&amp;IF($B$1=3,"",VLOOKUP($B$3,Fishinfo!$A$2:$R$21,10,FALSE)&amp;" ")&amp;VLOOKUP($B$1,Fishinfo!$A$2:$R$21,2,FALSE)),"")</f>
        <v>Common Glowing Red Lobster (5 hunger)</v>
      </c>
      <c r="F12" s="6">
        <f>IF(AND($B$7,$B$11&gt;7),IF($B$7,VLOOKUP($X$1,Fishinfo!$A$2:$R$21,3,FALSE)*VLOOKUP($X$2,Fishinfo!$A$2:$R$21,7,FALSE)*VLOOKUP($X$4,Fishinfo!$A$2:$R$21,15,FALSE),VLOOKUP($B$1,Fishinfo!$A$2:$R$21,3,FALSE)*VLOOKUP($B$2,Fishinfo!$A$2:$R$21,7,FALSE)*VLOOKUP($B$4,Fishinfo!$A$2:$R$21,15,FALSE)),"")</f>
        <v>360000</v>
      </c>
      <c r="H12" s="6" t="str">
        <f>IF(AND($B$7,$B$11&gt;7),IF($B$7,VLOOKUP($X$5,Fishinfo!$A$2:$R$21,18,FALSE),VLOOKUP($B$5,Fishinfo!$A$2:$R$21,18,FALSE)),"")</f>
        <v>Treasure Chest Tier 1 - Must roll a 20 or higher on a d20 to recieve this item, otherwise it falls back in the water and vanishes.</v>
      </c>
    </row>
    <row r="13">
      <c r="E13" s="6" t="str">
        <f>IF(AND($B$7,$B$11&gt;8),IF($B$7,VLOOKUP($Y$4,Fishinfo!$A$2:$R$21,14,FALSE)&amp;" "&amp;IF($Y$2=2,"",VLOOKUP($Y$2,Fishinfo!$A$2:$R$21,6,FALSE)&amp;" ")&amp;IF($Y$1=3,"",VLOOKUP($Y$3,Fishinfo!$A$2:$R$21,10,FALSE)&amp;" ")&amp;VLOOKUP($Y$1,Fishinfo!$A$2:$R$21,2,FALSE),VLOOKUP($B$4,Fishinfo!$A$2:$R$21,14,FALSE)&amp;" "&amp;IF($B$2=2,"",VLOOKUP($B$2,Fishinfo!$A$2:$R$21,6,FALSE)&amp;" ")&amp;IF($B$1=3,"",VLOOKUP($B$3,Fishinfo!$A$2:$R$21,10,FALSE)&amp;" ")&amp;VLOOKUP($B$1,Fishinfo!$A$2:$R$21,2,FALSE)),"")</f>
        <v>Mythical Glowing Red Bass (5 hunger)</v>
      </c>
      <c r="F13" s="6">
        <f>IF(AND($B$7,$B$11&gt;8),IF($B$7,VLOOKUP($Y$1,Fishinfo!$A$2:$R$21,3,FALSE)*VLOOKUP($Y$2,Fishinfo!$A$2:$R$21,7,FALSE)*VLOOKUP($Y$4,Fishinfo!$A$2:$R$21,15,FALSE),VLOOKUP($B$1,Fishinfo!$A$2:$R$21,3,FALSE)*VLOOKUP($B$2,Fishinfo!$A$2:$R$21,7,FALSE)*VLOOKUP($B$4,Fishinfo!$A$2:$R$21,15,FALSE)),"")</f>
        <v>60000</v>
      </c>
      <c r="H13" s="6" t="str">
        <f>IF(AND($B$7,$B$11&gt;8),IF($B$7,VLOOKUP($Y$5,Fishinfo!$A$2:$R$21,18,FALSE),VLOOKUP($B$5,Fishinfo!$A$2:$R$21,18,FALSE)),"")</f>
        <v>Treasure Chest Tier 1 - Must roll a 20 or higher on a d20 to recieve this item, otherwise it falls back in the water and vanishes.</v>
      </c>
    </row>
    <row r="14">
      <c r="E14" s="6" t="str">
        <f>IF(AND($B$7,$B$11&gt;9),IF($B$7,VLOOKUP($Z$4,Fishinfo!$A$2:$R$21,14,FALSE)&amp;" "&amp;IF($Z$2=2,"",VLOOKUP($Z$2,Fishinfo!$A$2:$R$21,6,FALSE)&amp;" ")&amp;IF($Z$1=3,"",VLOOKUP($Z$3,Fishinfo!$A$2:$R$21,10,FALSE)&amp;" ")&amp;VLOOKUP($Z$1,Fishinfo!$A$2:$R$21,2,FALSE),VLOOKUP($B$4,Fishinfo!$A$2:$R$21,14,FALSE)&amp;" "&amp;IF($B$2=2,"",VLOOKUP($B$2,Fishinfo!$A$2:$R$21,6,FALSE)&amp;" ")&amp;IF($B$1=3,"",VLOOKUP($B$3,Fishinfo!$A$2:$R$21,10,FALSE)&amp;" ")&amp;VLOOKUP($B$1,Fishinfo!$A$2:$R$21,2,FALSE)),"")</f>
        <v>Uncommon Shiny Orange Trout (5 hunger)</v>
      </c>
      <c r="F14" s="6">
        <f>IF(AND($B$7,$B$11&gt;9),IF($B$7,VLOOKUP($Z$1,Fishinfo!$A$2:$R$21,3,FALSE)*VLOOKUP($Z$2,Fishinfo!$A$2:$R$21,7,FALSE)*VLOOKUP($Z$4,Fishinfo!$A$2:$R$21,15,FALSE),VLOOKUP($B$1,Fishinfo!$A$2:$R$21,3,FALSE)*VLOOKUP($B$2,Fishinfo!$A$2:$R$21,7,FALSE)*VLOOKUP($B$4,Fishinfo!$A$2:$R$21,15,FALSE)),"")</f>
        <v>75000</v>
      </c>
      <c r="H14" s="6" t="str">
        <f>IF(AND($B$7,$B$11&gt;9),IF($B$7,VLOOKUP($Z$5,Fishinfo!$A$2:$R$21,18,FALSE),VLOOKUP($B$5,Fishinfo!$A$2:$R$21,18,FALSE)),"")</f>
        <v/>
      </c>
    </row>
  </sheetData>
  <dataValidations>
    <dataValidation type="decimal" allowBlank="1" showDropDown="1" showErrorMessage="1" sqref="B1 B5">
      <formula1>1.0</formula1>
      <formula2>20.0</formula2>
    </dataValidation>
    <dataValidation type="decimal" allowBlank="1" showDropDown="1" showErrorMessage="1" sqref="B2">
      <formula1>1.0</formula1>
      <formula2>4.0</formula2>
    </dataValidation>
    <dataValidation type="list" allowBlank="1" showErrorMessage="1" sqref="B11">
      <formula1>"1,2,3,4,5,6,7,8,9,10"</formula1>
    </dataValidation>
    <dataValidation type="decimal" allowBlank="1" showDropDown="1" showErrorMessage="1" sqref="B3">
      <formula1>1.0</formula1>
      <formula2>12.0</formula2>
    </dataValidation>
    <dataValidation type="decimal" allowBlank="1" showDropDown="1" showErrorMessage="1" sqref="B4">
      <formula1>1.0</formula1>
      <formula2>8.0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IFERROR(__xludf.DUMMYFUNCTION("IMPORTRANGE(""https://docs.google.com/spreadsheets/d/1HXoAI5UG3zq1UHqU5n7fPdbQk93qOha2VQb1r7iRi1o"",""Fishinfo!A:AO"")"),"Number")</f>
        <v>Number</v>
      </c>
      <c r="B1" s="1" t="str">
        <f>IFERROR(__xludf.DUMMYFUNCTION("""COMPUTED_VALUE"""),"Fish")</f>
        <v>Fish</v>
      </c>
      <c r="C1" s="1" t="str">
        <f>IFERROR(__xludf.DUMMYFUNCTION("""COMPUTED_VALUE"""),"Price")</f>
        <v>Price</v>
      </c>
      <c r="D1" s="7"/>
      <c r="E1" s="7"/>
      <c r="F1" s="1" t="str">
        <f>IFERROR(__xludf.DUMMYFUNCTION("""COMPUTED_VALUE"""),"Texture")</f>
        <v>Texture</v>
      </c>
      <c r="G1" s="1" t="str">
        <f>IFERROR(__xludf.DUMMYFUNCTION("""COMPUTED_VALUE"""),"Value Multiplier")</f>
        <v>Value Multiplier</v>
      </c>
      <c r="H1" s="7"/>
      <c r="I1" s="7"/>
      <c r="J1" s="1" t="str">
        <f>IFERROR(__xludf.DUMMYFUNCTION("""COMPUTED_VALUE"""),"Colors")</f>
        <v>Colors</v>
      </c>
      <c r="K1" s="7"/>
      <c r="L1" s="7"/>
      <c r="M1" s="7"/>
      <c r="N1" s="1" t="str">
        <f>IFERROR(__xludf.DUMMYFUNCTION("""COMPUTED_VALUE"""),"Rarity")</f>
        <v>Rarity</v>
      </c>
      <c r="O1" s="1" t="str">
        <f>IFERROR(__xludf.DUMMYFUNCTION("""COMPUTED_VALUE"""),"Value Multiplier")</f>
        <v>Value Multiplier</v>
      </c>
      <c r="P1" s="7"/>
      <c r="Q1" s="7"/>
      <c r="R1" s="1" t="str">
        <f>IFERROR(__xludf.DUMMYFUNCTION("""COMPUTED_VALUE"""),"Items")</f>
        <v>Items</v>
      </c>
      <c r="S1" s="7"/>
      <c r="T1" s="7"/>
      <c r="U1" s="7"/>
      <c r="V1" s="7"/>
      <c r="W1" s="7"/>
      <c r="X1" s="7"/>
      <c r="Y1" s="7"/>
      <c r="Z1" s="7"/>
    </row>
    <row r="2">
      <c r="A2" s="8">
        <f>IFERROR(__xludf.DUMMYFUNCTION("""COMPUTED_VALUE"""),1.0)</f>
        <v>1</v>
      </c>
      <c r="B2" s="9" t="str">
        <f>IFERROR(__xludf.DUMMYFUNCTION("""COMPUTED_VALUE"""),"Bass (5 hunger)")</f>
        <v>Bass (5 hunger)</v>
      </c>
      <c r="C2" s="8">
        <f>IFERROR(__xludf.DUMMYFUNCTION("""COMPUTED_VALUE"""),1000.0)</f>
        <v>1000</v>
      </c>
      <c r="D2" s="6"/>
      <c r="E2" s="6"/>
      <c r="F2" s="6" t="str">
        <f>IFERROR(__xludf.DUMMYFUNCTION("""COMPUTED_VALUE"""),"Shiny")</f>
        <v>Shiny</v>
      </c>
      <c r="G2" s="6">
        <f>IFERROR(__xludf.DUMMYFUNCTION("""COMPUTED_VALUE"""),2.0)</f>
        <v>2</v>
      </c>
      <c r="H2" s="6"/>
      <c r="I2" s="6"/>
      <c r="J2" s="6" t="str">
        <f>IFERROR(__xludf.DUMMYFUNCTION("""COMPUTED_VALUE"""),"White")</f>
        <v>White</v>
      </c>
      <c r="K2" s="6"/>
      <c r="L2" s="6"/>
      <c r="M2" s="6"/>
      <c r="N2" s="6" t="str">
        <f>IFERROR(__xludf.DUMMYFUNCTION("""COMPUTED_VALUE"""),"Very Common")</f>
        <v>Very Common</v>
      </c>
      <c r="O2" s="6">
        <f>IFERROR(__xludf.DUMMYFUNCTION("""COMPUTED_VALUE"""),0.5)</f>
        <v>0.5</v>
      </c>
      <c r="P2" s="6"/>
      <c r="Q2" s="6"/>
      <c r="R2" s="6" t="str">
        <f>IFERROR(__xludf.DUMMYFUNCTION("""COMPUTED_VALUE"""),"Iron Chestplate")</f>
        <v>Iron Chestplate</v>
      </c>
      <c r="S2" s="6"/>
      <c r="T2" s="6"/>
      <c r="U2" s="6"/>
      <c r="V2" s="6"/>
      <c r="W2" s="6"/>
      <c r="X2" s="6"/>
      <c r="Y2" s="6"/>
      <c r="Z2" s="6"/>
    </row>
    <row r="3">
      <c r="A3" s="8">
        <f>IFERROR(__xludf.DUMMYFUNCTION("""COMPUTED_VALUE"""),2.0)</f>
        <v>2</v>
      </c>
      <c r="B3" s="9" t="str">
        <f>IFERROR(__xludf.DUMMYFUNCTION("""COMPUTED_VALUE"""),"Salmon (5 hunger)")</f>
        <v>Salmon (5 hunger)</v>
      </c>
      <c r="C3" s="8">
        <f>IFERROR(__xludf.DUMMYFUNCTION("""COMPUTED_VALUE"""),5000.0)</f>
        <v>5000</v>
      </c>
      <c r="D3" s="6"/>
      <c r="E3" s="6"/>
      <c r="F3" s="6"/>
      <c r="G3" s="6">
        <f>IFERROR(__xludf.DUMMYFUNCTION("""COMPUTED_VALUE"""),1.0)</f>
        <v>1</v>
      </c>
      <c r="H3" s="6"/>
      <c r="I3" s="6"/>
      <c r="J3" s="6" t="str">
        <f>IFERROR(__xludf.DUMMYFUNCTION("""COMPUTED_VALUE"""),"Gold")</f>
        <v>Gold</v>
      </c>
      <c r="K3" s="6"/>
      <c r="L3" s="6"/>
      <c r="M3" s="6"/>
      <c r="N3" s="6" t="str">
        <f>IFERROR(__xludf.DUMMYFUNCTION("""COMPUTED_VALUE"""),"Common")</f>
        <v>Common</v>
      </c>
      <c r="O3" s="6">
        <f>IFERROR(__xludf.DUMMYFUNCTION("""COMPUTED_VALUE"""),1.0)</f>
        <v>1</v>
      </c>
      <c r="P3" s="6"/>
      <c r="Q3" s="6"/>
      <c r="R3" s="6" t="str">
        <f>IFERROR(__xludf.DUMMYFUNCTION("""COMPUTED_VALUE"""),"Iron Broadsword")</f>
        <v>Iron Broadsword</v>
      </c>
      <c r="S3" s="6"/>
      <c r="T3" s="6"/>
      <c r="U3" s="6"/>
      <c r="V3" s="6"/>
      <c r="W3" s="6"/>
      <c r="X3" s="6"/>
      <c r="Y3" s="6"/>
      <c r="Z3" s="6"/>
    </row>
    <row r="4">
      <c r="A4" s="8">
        <f>IFERROR(__xludf.DUMMYFUNCTION("""COMPUTED_VALUE"""),3.0)</f>
        <v>3</v>
      </c>
      <c r="B4" s="9" t="str">
        <f>IFERROR(__xludf.DUMMYFUNCTION("""COMPUTED_VALUE"""),"Rainbow Fish (5 hunger)")</f>
        <v>Rainbow Fish (5 hunger)</v>
      </c>
      <c r="C4" s="8">
        <f>IFERROR(__xludf.DUMMYFUNCTION("""COMPUTED_VALUE"""),10000.0)</f>
        <v>10000</v>
      </c>
      <c r="D4" s="6"/>
      <c r="E4" s="6"/>
      <c r="F4" s="6" t="str">
        <f>IFERROR(__xludf.DUMMYFUNCTION("""COMPUTED_VALUE"""),"Glowing")</f>
        <v>Glowing</v>
      </c>
      <c r="G4" s="6">
        <f>IFERROR(__xludf.DUMMYFUNCTION("""COMPUTED_VALUE"""),6.0)</f>
        <v>6</v>
      </c>
      <c r="H4" s="6"/>
      <c r="I4" s="6"/>
      <c r="J4" s="6" t="str">
        <f>IFERROR(__xludf.DUMMYFUNCTION("""COMPUTED_VALUE"""),"Yellow")</f>
        <v>Yellow</v>
      </c>
      <c r="K4" s="6"/>
      <c r="L4" s="6"/>
      <c r="M4" s="6"/>
      <c r="N4" s="6" t="str">
        <f>IFERROR(__xludf.DUMMYFUNCTION("""COMPUTED_VALUE"""),"Uncommon")</f>
        <v>Uncommon</v>
      </c>
      <c r="O4" s="6">
        <f>IFERROR(__xludf.DUMMYFUNCTION("""COMPUTED_VALUE"""),1.5)</f>
        <v>1.5</v>
      </c>
      <c r="P4" s="6"/>
      <c r="Q4" s="6"/>
      <c r="R4" s="6" t="str">
        <f>IFERROR(__xludf.DUMMYFUNCTION("""COMPUTED_VALUE"""),"Iron Helmet")</f>
        <v>Iron Helmet</v>
      </c>
      <c r="S4" s="6"/>
      <c r="T4" s="6"/>
      <c r="U4" s="6"/>
      <c r="V4" s="6"/>
      <c r="W4" s="6"/>
      <c r="X4" s="6"/>
      <c r="Y4" s="6"/>
      <c r="Z4" s="6"/>
    </row>
    <row r="5">
      <c r="A5" s="8">
        <f>IFERROR(__xludf.DUMMYFUNCTION("""COMPUTED_VALUE"""),4.0)</f>
        <v>4</v>
      </c>
      <c r="B5" s="9" t="str">
        <f>IFERROR(__xludf.DUMMYFUNCTION("""COMPUTED_VALUE"""),"Bonefish (5 hunger)")</f>
        <v>Bonefish (5 hunger)</v>
      </c>
      <c r="C5" s="8">
        <f>IFERROR(__xludf.DUMMYFUNCTION("""COMPUTED_VALUE"""),15000.0)</f>
        <v>15000</v>
      </c>
      <c r="D5" s="6"/>
      <c r="E5" s="6"/>
      <c r="F5" s="6" t="str">
        <f>IFERROR(__xludf.DUMMYFUNCTION("""COMPUTED_VALUE"""),"Sparkling")</f>
        <v>Sparkling</v>
      </c>
      <c r="G5" s="6">
        <f>IFERROR(__xludf.DUMMYFUNCTION("""COMPUTED_VALUE"""),4.0)</f>
        <v>4</v>
      </c>
      <c r="H5" s="6"/>
      <c r="I5" s="6"/>
      <c r="J5" s="6" t="str">
        <f>IFERROR(__xludf.DUMMYFUNCTION("""COMPUTED_VALUE"""),"Orange")</f>
        <v>Orange</v>
      </c>
      <c r="K5" s="6"/>
      <c r="L5" s="6"/>
      <c r="M5" s="6"/>
      <c r="N5" s="6" t="str">
        <f>IFERROR(__xludf.DUMMYFUNCTION("""COMPUTED_VALUE"""),"Rare")</f>
        <v>Rare</v>
      </c>
      <c r="O5" s="6">
        <f>IFERROR(__xludf.DUMMYFUNCTION("""COMPUTED_VALUE"""),2.0)</f>
        <v>2</v>
      </c>
      <c r="P5" s="6"/>
      <c r="Q5" s="6"/>
      <c r="R5" s="6" t="str">
        <f>IFERROR(__xludf.DUMMYFUNCTION("""COMPUTED_VALUE"""),"Wooden Fishing Pole ")</f>
        <v>Wooden Fishing Pole </v>
      </c>
      <c r="S5" s="6"/>
      <c r="T5" s="6"/>
      <c r="U5" s="6"/>
      <c r="V5" s="6"/>
      <c r="W5" s="6"/>
      <c r="X5" s="6"/>
      <c r="Y5" s="6"/>
      <c r="Z5" s="6"/>
    </row>
    <row r="6">
      <c r="A6" s="8">
        <f>IFERROR(__xludf.DUMMYFUNCTION("""COMPUTED_VALUE"""),5.0)</f>
        <v>5</v>
      </c>
      <c r="B6" s="9" t="str">
        <f>IFERROR(__xludf.DUMMYFUNCTION("""COMPUTED_VALUE"""),"Bowfin (5 hunger)")</f>
        <v>Bowfin (5 hunger)</v>
      </c>
      <c r="C6" s="8">
        <f>IFERROR(__xludf.DUMMYFUNCTION("""COMPUTED_VALUE"""),20000.0)</f>
        <v>20000</v>
      </c>
      <c r="D6" s="6"/>
      <c r="E6" s="6"/>
      <c r="F6" s="6"/>
      <c r="G6" s="6"/>
      <c r="H6" s="6"/>
      <c r="I6" s="6"/>
      <c r="J6" s="6" t="str">
        <f>IFERROR(__xludf.DUMMYFUNCTION("""COMPUTED_VALUE"""),"Red")</f>
        <v>Red</v>
      </c>
      <c r="K6" s="6"/>
      <c r="L6" s="6"/>
      <c r="M6" s="6"/>
      <c r="N6" s="6" t="str">
        <f>IFERROR(__xludf.DUMMYFUNCTION("""COMPUTED_VALUE"""),"Very Rare")</f>
        <v>Very Rare</v>
      </c>
      <c r="O6" s="6">
        <f>IFERROR(__xludf.DUMMYFUNCTION("""COMPUTED_VALUE"""),4.0)</f>
        <v>4</v>
      </c>
      <c r="P6" s="6"/>
      <c r="Q6" s="6"/>
      <c r="R6" s="6" t="str">
        <f>IFERROR(__xludf.DUMMYFUNCTION("""COMPUTED_VALUE"""),"Steel Fishing Pole ")</f>
        <v>Steel Fishing Pole </v>
      </c>
      <c r="S6" s="6"/>
      <c r="T6" s="6"/>
      <c r="U6" s="6"/>
      <c r="V6" s="6"/>
      <c r="W6" s="6"/>
      <c r="X6" s="6"/>
      <c r="Y6" s="6"/>
      <c r="Z6" s="6"/>
    </row>
    <row r="7">
      <c r="A7" s="8">
        <f>IFERROR(__xludf.DUMMYFUNCTION("""COMPUTED_VALUE"""),6.0)</f>
        <v>6</v>
      </c>
      <c r="B7" s="9" t="str">
        <f>IFERROR(__xludf.DUMMYFUNCTION("""COMPUTED_VALUE"""),"Trout (5 hunger)")</f>
        <v>Trout (5 hunger)</v>
      </c>
      <c r="C7" s="8">
        <f>IFERROR(__xludf.DUMMYFUNCTION("""COMPUTED_VALUE"""),25000.0)</f>
        <v>25000</v>
      </c>
      <c r="D7" s="6"/>
      <c r="E7" s="6"/>
      <c r="F7" s="6"/>
      <c r="G7" s="6"/>
      <c r="H7" s="6"/>
      <c r="I7" s="6"/>
      <c r="J7" s="6" t="str">
        <f>IFERROR(__xludf.DUMMYFUNCTION("""COMPUTED_VALUE"""),"Pink")</f>
        <v>Pink</v>
      </c>
      <c r="K7" s="6"/>
      <c r="L7" s="6"/>
      <c r="M7" s="6"/>
      <c r="N7" s="6" t="str">
        <f>IFERROR(__xludf.DUMMYFUNCTION("""COMPUTED_VALUE"""),"Super Rare")</f>
        <v>Super Rare</v>
      </c>
      <c r="O7" s="6">
        <f>IFERROR(__xludf.DUMMYFUNCTION("""COMPUTED_VALUE"""),6.0)</f>
        <v>6</v>
      </c>
      <c r="P7" s="6"/>
      <c r="Q7" s="6"/>
      <c r="R7" s="6" t="str">
        <f>IFERROR(__xludf.DUMMYFUNCTION("""COMPUTED_VALUE"""),"Max Mana Potion")</f>
        <v>Max Mana Potion</v>
      </c>
      <c r="S7" s="6"/>
      <c r="T7" s="6"/>
      <c r="U7" s="6"/>
      <c r="V7" s="6"/>
      <c r="W7" s="6"/>
      <c r="X7" s="6"/>
      <c r="Y7" s="6"/>
      <c r="Z7" s="6"/>
    </row>
    <row r="8">
      <c r="A8" s="8">
        <f>IFERROR(__xludf.DUMMYFUNCTION("""COMPUTED_VALUE"""),7.0)</f>
        <v>7</v>
      </c>
      <c r="B8" s="9" t="str">
        <f>IFERROR(__xludf.DUMMYFUNCTION("""COMPUTED_VALUE"""),"Catfish (5 hunger)")</f>
        <v>Catfish (5 hunger)</v>
      </c>
      <c r="C8" s="8">
        <f>IFERROR(__xludf.DUMMYFUNCTION("""COMPUTED_VALUE"""),30000.0)</f>
        <v>30000</v>
      </c>
      <c r="D8" s="6"/>
      <c r="E8" s="6"/>
      <c r="F8" s="6"/>
      <c r="G8" s="6"/>
      <c r="H8" s="6"/>
      <c r="I8" s="6"/>
      <c r="J8" s="6" t="str">
        <f>IFERROR(__xludf.DUMMYFUNCTION("""COMPUTED_VALUE"""),"Purple")</f>
        <v>Purple</v>
      </c>
      <c r="K8" s="6"/>
      <c r="L8" s="6"/>
      <c r="M8" s="6"/>
      <c r="N8" s="6" t="str">
        <f>IFERROR(__xludf.DUMMYFUNCTION("""COMPUTED_VALUE"""),"Unique")</f>
        <v>Unique</v>
      </c>
      <c r="O8" s="6">
        <f>IFERROR(__xludf.DUMMYFUNCTION("""COMPUTED_VALUE"""),8.0)</f>
        <v>8</v>
      </c>
      <c r="P8" s="6"/>
      <c r="Q8" s="6"/>
      <c r="R8" s="6" t="str">
        <f>IFERROR(__xludf.DUMMYFUNCTION("""COMPUTED_VALUE"""),"Melomel (Mead w/ fruit added)")</f>
        <v>Melomel (Mead w/ fruit added)</v>
      </c>
      <c r="S8" s="6"/>
      <c r="T8" s="6"/>
      <c r="U8" s="6"/>
      <c r="V8" s="6"/>
      <c r="W8" s="6"/>
      <c r="X8" s="6"/>
      <c r="Y8" s="6"/>
      <c r="Z8" s="6"/>
    </row>
    <row r="9">
      <c r="A9" s="8">
        <f>IFERROR(__xludf.DUMMYFUNCTION("""COMPUTED_VALUE"""),8.0)</f>
        <v>8</v>
      </c>
      <c r="B9" s="9" t="str">
        <f>IFERROR(__xludf.DUMMYFUNCTION("""COMPUTED_VALUE"""),"Clam (5 hunger)")</f>
        <v>Clam (5 hunger)</v>
      </c>
      <c r="C9" s="8">
        <f>IFERROR(__xludf.DUMMYFUNCTION("""COMPUTED_VALUE"""),35000.0)</f>
        <v>35000</v>
      </c>
      <c r="D9" s="6"/>
      <c r="E9" s="6"/>
      <c r="F9" s="6"/>
      <c r="G9" s="6"/>
      <c r="H9" s="6"/>
      <c r="I9" s="6"/>
      <c r="J9" s="6" t="str">
        <f>IFERROR(__xludf.DUMMYFUNCTION("""COMPUTED_VALUE"""),"Blue")</f>
        <v>Blue</v>
      </c>
      <c r="K9" s="6"/>
      <c r="L9" s="6"/>
      <c r="M9" s="6"/>
      <c r="N9" s="6" t="str">
        <f>IFERROR(__xludf.DUMMYFUNCTION("""COMPUTED_VALUE"""),"Mythical")</f>
        <v>Mythical</v>
      </c>
      <c r="O9" s="6">
        <f>IFERROR(__xludf.DUMMYFUNCTION("""COMPUTED_VALUE"""),10.0)</f>
        <v>10</v>
      </c>
      <c r="P9" s="6"/>
      <c r="Q9" s="6"/>
      <c r="R9" s="6" t="str">
        <f>IFERROR(__xludf.DUMMYFUNCTION("""COMPUTED_VALUE"""),"Live Worm")</f>
        <v>Live Worm</v>
      </c>
      <c r="S9" s="6"/>
      <c r="T9" s="6"/>
      <c r="U9" s="6"/>
      <c r="V9" s="6"/>
      <c r="W9" s="6"/>
      <c r="X9" s="6"/>
      <c r="Y9" s="6"/>
      <c r="Z9" s="6"/>
    </row>
    <row r="10">
      <c r="A10" s="8">
        <f>IFERROR(__xludf.DUMMYFUNCTION("""COMPUTED_VALUE"""),9.0)</f>
        <v>9</v>
      </c>
      <c r="B10" s="9" t="str">
        <f>IFERROR(__xludf.DUMMYFUNCTION("""COMPUTED_VALUE"""),"Cod (5 hunger)")</f>
        <v>Cod (5 hunger)</v>
      </c>
      <c r="C10" s="8">
        <f>IFERROR(__xludf.DUMMYFUNCTION("""COMPUTED_VALUE"""),40000.0)</f>
        <v>40000</v>
      </c>
      <c r="D10" s="6"/>
      <c r="E10" s="6"/>
      <c r="F10" s="6"/>
      <c r="G10" s="6"/>
      <c r="H10" s="6"/>
      <c r="I10" s="6"/>
      <c r="J10" s="6" t="str">
        <f>IFERROR(__xludf.DUMMYFUNCTION("""COMPUTED_VALUE"""),"Black")</f>
        <v>Black</v>
      </c>
      <c r="K10" s="6"/>
      <c r="L10" s="6"/>
      <c r="M10" s="6"/>
      <c r="N10" s="6"/>
      <c r="O10" s="6"/>
      <c r="P10" s="6"/>
      <c r="Q10" s="6"/>
      <c r="R10" s="6" t="str">
        <f>IFERROR(__xludf.DUMMYFUNCTION("""COMPUTED_VALUE"""),"Water Arrow")</f>
        <v>Water Arrow</v>
      </c>
      <c r="S10" s="6"/>
      <c r="T10" s="6"/>
      <c r="U10" s="6"/>
      <c r="V10" s="6"/>
      <c r="W10" s="6"/>
      <c r="X10" s="6"/>
      <c r="Y10" s="6"/>
      <c r="Z10" s="6"/>
    </row>
    <row r="11">
      <c r="A11" s="8">
        <f>IFERROR(__xludf.DUMMYFUNCTION("""COMPUTED_VALUE"""),10.0)</f>
        <v>10</v>
      </c>
      <c r="B11" s="9" t="str">
        <f>IFERROR(__xludf.DUMMYFUNCTION("""COMPUTED_VALUE"""),"Crab (5 hunger)")</f>
        <v>Crab (5 hunger)</v>
      </c>
      <c r="C11" s="8">
        <f>IFERROR(__xludf.DUMMYFUNCTION("""COMPUTED_VALUE"""),45000.0)</f>
        <v>45000</v>
      </c>
      <c r="D11" s="6"/>
      <c r="E11" s="6"/>
      <c r="F11" s="6"/>
      <c r="G11" s="6"/>
      <c r="H11" s="6"/>
      <c r="I11" s="6"/>
      <c r="J11" s="6" t="str">
        <f>IFERROR(__xludf.DUMMYFUNCTION("""COMPUTED_VALUE"""),"Green")</f>
        <v>Green</v>
      </c>
      <c r="K11" s="6"/>
      <c r="L11" s="6"/>
      <c r="M11" s="6"/>
      <c r="N11" s="6"/>
      <c r="O11" s="6"/>
      <c r="P11" s="6"/>
      <c r="Q11" s="6"/>
      <c r="R11" s="6" t="str">
        <f>IFERROR(__xludf.DUMMYFUNCTION("""COMPUTED_VALUE"""),"Fish Stone")</f>
        <v>Fish Stone</v>
      </c>
      <c r="S11" s="6"/>
      <c r="T11" s="6"/>
      <c r="U11" s="6"/>
      <c r="V11" s="6"/>
      <c r="W11" s="6"/>
      <c r="X11" s="6"/>
      <c r="Y11" s="6"/>
      <c r="Z11" s="6"/>
    </row>
    <row r="12">
      <c r="A12" s="8">
        <f>IFERROR(__xludf.DUMMYFUNCTION("""COMPUTED_VALUE"""),11.0)</f>
        <v>11</v>
      </c>
      <c r="B12" s="9" t="str">
        <f>IFERROR(__xludf.DUMMYFUNCTION("""COMPUTED_VALUE"""),"Eel (5 hunger)")</f>
        <v>Eel (5 hunger)</v>
      </c>
      <c r="C12" s="8">
        <f>IFERROR(__xludf.DUMMYFUNCTION("""COMPUTED_VALUE"""),50000.0)</f>
        <v>50000</v>
      </c>
      <c r="D12" s="6"/>
      <c r="E12" s="6"/>
      <c r="F12" s="6"/>
      <c r="G12" s="6"/>
      <c r="H12" s="6"/>
      <c r="I12" s="6"/>
      <c r="J12" s="6" t="str">
        <f>IFERROR(__xludf.DUMMYFUNCTION("""COMPUTED_VALUE"""),"Silver")</f>
        <v>Silver</v>
      </c>
      <c r="K12" s="6"/>
      <c r="L12" s="6"/>
      <c r="M12" s="6"/>
      <c r="N12" s="6"/>
      <c r="O12" s="6"/>
      <c r="P12" s="6"/>
      <c r="Q12" s="6"/>
      <c r="R12" s="6" t="str">
        <f>IFERROR(__xludf.DUMMYFUNCTION("""COMPUTED_VALUE"""),"Treasure Chest Tier 1 - Must roll a 20 or higher on a d20 to recieve this item, otherwise it falls back in the water and vanishes.")</f>
        <v>Treasure Chest Tier 1 - Must roll a 20 or higher on a d20 to recieve this item, otherwise it falls back in the water and vanishes.</v>
      </c>
      <c r="S12" s="6"/>
      <c r="T12" s="6"/>
      <c r="U12" s="6"/>
      <c r="V12" s="6"/>
      <c r="W12" s="6"/>
      <c r="X12" s="6"/>
      <c r="Y12" s="6"/>
      <c r="Z12" s="6"/>
    </row>
    <row r="13">
      <c r="A13" s="8">
        <f>IFERROR(__xludf.DUMMYFUNCTION("""COMPUTED_VALUE"""),12.0)</f>
        <v>12</v>
      </c>
      <c r="B13" s="9" t="str">
        <f>IFERROR(__xludf.DUMMYFUNCTION("""COMPUTED_VALUE"""),"Haddock (5 hunger)")</f>
        <v>Haddock (5 hunger)</v>
      </c>
      <c r="C13" s="8">
        <f>IFERROR(__xludf.DUMMYFUNCTION("""COMPUTED_VALUE"""),55000.0)</f>
        <v>55000</v>
      </c>
      <c r="D13" s="6"/>
      <c r="E13" s="6"/>
      <c r="F13" s="6"/>
      <c r="G13" s="6"/>
      <c r="H13" s="6"/>
      <c r="I13" s="6"/>
      <c r="J13" s="6" t="str">
        <f>IFERROR(__xludf.DUMMYFUNCTION("""COMPUTED_VALUE"""),"Bronze")</f>
        <v>Bronze</v>
      </c>
      <c r="K13" s="6"/>
      <c r="L13" s="6"/>
      <c r="M13" s="6"/>
      <c r="N13" s="6"/>
      <c r="O13" s="6"/>
      <c r="P13" s="6"/>
      <c r="Q13" s="6"/>
      <c r="R13" s="6" t="str">
        <f>IFERROR(__xludf.DUMMYFUNCTION("""COMPUTED_VALUE"""),"Barrel of Poisonous Water")</f>
        <v>Barrel of Poisonous Water</v>
      </c>
      <c r="S13" s="6"/>
      <c r="T13" s="6"/>
      <c r="U13" s="6"/>
      <c r="V13" s="6"/>
      <c r="W13" s="6"/>
      <c r="X13" s="6"/>
      <c r="Y13" s="6"/>
      <c r="Z13" s="6"/>
    </row>
    <row r="14">
      <c r="A14" s="8">
        <f>IFERROR(__xludf.DUMMYFUNCTION("""COMPUTED_VALUE"""),13.0)</f>
        <v>13</v>
      </c>
      <c r="B14" s="9" t="str">
        <f>IFERROR(__xludf.DUMMYFUNCTION("""COMPUTED_VALUE"""),"Lobster (5 hunger)")</f>
        <v>Lobster (5 hunger)</v>
      </c>
      <c r="C14" s="8">
        <f>IFERROR(__xludf.DUMMYFUNCTION("""COMPUTED_VALUE"""),60000.0)</f>
        <v>60000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tr">
        <f>IFERROR(__xludf.DUMMYFUNCTION("""COMPUTED_VALUE"""),"Water Gem")</f>
        <v>Water Gem</v>
      </c>
      <c r="S14" s="6"/>
      <c r="T14" s="6"/>
      <c r="U14" s="6"/>
      <c r="V14" s="6"/>
      <c r="W14" s="6"/>
      <c r="X14" s="6"/>
      <c r="Y14" s="6"/>
      <c r="Z14" s="6"/>
    </row>
    <row r="15">
      <c r="A15" s="8">
        <f>IFERROR(__xludf.DUMMYFUNCTION("""COMPUTED_VALUE"""),14.0)</f>
        <v>14</v>
      </c>
      <c r="B15" s="9" t="str">
        <f>IFERROR(__xludf.DUMMYFUNCTION("""COMPUTED_VALUE"""),"Marlin (5 hunger)")</f>
        <v>Marlin (5 hunger)</v>
      </c>
      <c r="C15" s="8">
        <f>IFERROR(__xludf.DUMMYFUNCTION("""COMPUTED_VALUE"""),65000.0)</f>
        <v>65000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 t="str">
        <f>IFERROR(__xludf.DUMMYFUNCTION("""COMPUTED_VALUE"""),"Turtle Shell")</f>
        <v>Turtle Shell</v>
      </c>
      <c r="S15" s="6"/>
      <c r="T15" s="6"/>
      <c r="U15" s="6"/>
      <c r="V15" s="6"/>
      <c r="W15" s="6"/>
      <c r="X15" s="6"/>
      <c r="Y15" s="6"/>
      <c r="Z15" s="6"/>
    </row>
    <row r="16">
      <c r="A16" s="8">
        <f>IFERROR(__xludf.DUMMYFUNCTION("""COMPUTED_VALUE"""),15.0)</f>
        <v>15</v>
      </c>
      <c r="B16" s="9" t="str">
        <f>IFERROR(__xludf.DUMMYFUNCTION("""COMPUTED_VALUE"""),"Needlefish (5 hunger)")</f>
        <v>Needlefish (5 hunger)</v>
      </c>
      <c r="C16" s="8">
        <f>IFERROR(__xludf.DUMMYFUNCTION("""COMPUTED_VALUE"""),70000.0)</f>
        <v>70000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 t="str">
        <f>IFERROR(__xludf.DUMMYFUNCTION("""COMPUTED_VALUE"""),"Aquatic Diamond")</f>
        <v>Aquatic Diamond</v>
      </c>
      <c r="S16" s="6"/>
      <c r="T16" s="6"/>
      <c r="U16" s="6"/>
      <c r="V16" s="6"/>
      <c r="W16" s="6"/>
      <c r="X16" s="6"/>
      <c r="Y16" s="6"/>
      <c r="Z16" s="6"/>
    </row>
    <row r="17">
      <c r="A17" s="8">
        <f>IFERROR(__xludf.DUMMYFUNCTION("""COMPUTED_VALUE"""),16.0)</f>
        <v>16</v>
      </c>
      <c r="B17" s="9" t="str">
        <f>IFERROR(__xludf.DUMMYFUNCTION("""COMPUTED_VALUE"""),"Paddlefish (5 hunger)")</f>
        <v>Paddlefish (5 hunger)</v>
      </c>
      <c r="C17" s="8">
        <f>IFERROR(__xludf.DUMMYFUNCTION("""COMPUTED_VALUE"""),75000.0)</f>
        <v>75000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 t="str">
        <f>IFERROR(__xludf.DUMMYFUNCTION("""COMPUTED_VALUE"""),"Potion of Luck")</f>
        <v>Potion of Luck</v>
      </c>
      <c r="S17" s="6"/>
      <c r="T17" s="6"/>
      <c r="U17" s="6"/>
      <c r="V17" s="6"/>
      <c r="W17" s="6"/>
      <c r="X17" s="6"/>
      <c r="Y17" s="6"/>
      <c r="Z17" s="6"/>
    </row>
    <row r="18">
      <c r="A18" s="8">
        <f>IFERROR(__xludf.DUMMYFUNCTION("""COMPUTED_VALUE"""),17.0)</f>
        <v>17</v>
      </c>
      <c r="B18" s="9" t="str">
        <f>IFERROR(__xludf.DUMMYFUNCTION("""COMPUTED_VALUE"""),"Great White Shark (25 hunger to 4 party mebers)")</f>
        <v>Great White Shark (25 hunger to 4 party mebers)</v>
      </c>
      <c r="C18" s="8">
        <f>IFERROR(__xludf.DUMMYFUNCTION("""COMPUTED_VALUE"""),80000.0)</f>
        <v>80000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 t="str">
        <f>IFERROR(__xludf.DUMMYFUNCTION("""COMPUTED_VALUE"""),"Small Fuel Canister")</f>
        <v>Small Fuel Canister</v>
      </c>
      <c r="S18" s="6"/>
      <c r="T18" s="6"/>
      <c r="U18" s="6"/>
      <c r="V18" s="6"/>
      <c r="W18" s="6"/>
      <c r="X18" s="6"/>
      <c r="Y18" s="6"/>
      <c r="Z18" s="6"/>
    </row>
    <row r="19">
      <c r="A19" s="8">
        <f>IFERROR(__xludf.DUMMYFUNCTION("""COMPUTED_VALUE"""),18.0)</f>
        <v>18</v>
      </c>
      <c r="B19" s="9" t="str">
        <f>IFERROR(__xludf.DUMMYFUNCTION("""COMPUTED_VALUE"""),"SailFish (5 hunger)")</f>
        <v>SailFish (5 hunger)</v>
      </c>
      <c r="C19" s="8">
        <f>IFERROR(__xludf.DUMMYFUNCTION("""COMPUTED_VALUE"""),85000.0)</f>
        <v>85000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 t="str">
        <f>IFERROR(__xludf.DUMMYFUNCTION("""COMPUTED_VALUE"""),"Vial of Unknown Liquid")</f>
        <v>Vial of Unknown Liquid</v>
      </c>
      <c r="S19" s="6"/>
      <c r="T19" s="6"/>
      <c r="U19" s="6"/>
      <c r="V19" s="6"/>
      <c r="W19" s="6"/>
      <c r="X19" s="6"/>
      <c r="Y19" s="6"/>
      <c r="Z19" s="6"/>
    </row>
    <row r="20">
      <c r="A20" s="8">
        <f>IFERROR(__xludf.DUMMYFUNCTION("""COMPUTED_VALUE"""),19.0)</f>
        <v>19</v>
      </c>
      <c r="B20" s="9" t="str">
        <f>IFERROR(__xludf.DUMMYFUNCTION("""COMPUTED_VALUE"""),"Saratoga (5 hunger)")</f>
        <v>Saratoga (5 hunger)</v>
      </c>
      <c r="C20" s="8">
        <f>IFERROR(__xludf.DUMMYFUNCTION("""COMPUTED_VALUE"""),90000.0)</f>
        <v>90000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tr">
        <f>IFERROR(__xludf.DUMMYFUNCTION("""COMPUTED_VALUE"""),"Water Warhammer")</f>
        <v>Water Warhammer</v>
      </c>
      <c r="S20" s="6"/>
      <c r="T20" s="6"/>
      <c r="U20" s="6"/>
      <c r="V20" s="6"/>
      <c r="W20" s="6"/>
      <c r="X20" s="6"/>
      <c r="Y20" s="6"/>
      <c r="Z20" s="6"/>
    </row>
    <row r="21">
      <c r="A21" s="8">
        <f>IFERROR(__xludf.DUMMYFUNCTION("""COMPUTED_VALUE"""),20.0)</f>
        <v>20</v>
      </c>
      <c r="B21" s="9" t="str">
        <f>IFERROR(__xludf.DUMMYFUNCTION("""COMPUTED_VALUE"""),"Whale (25 hunger to all party members)")</f>
        <v>Whale (25 hunger to all party members)</v>
      </c>
      <c r="C21" s="8">
        <f>IFERROR(__xludf.DUMMYFUNCTION("""COMPUTED_VALUE"""),100000.0)</f>
        <v>100000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