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" sheetId="1" r:id="rId4"/>
    <sheet state="visible" name="Herbs" sheetId="2" r:id="rId5"/>
  </sheets>
  <definedNames/>
  <calcPr/>
</workbook>
</file>

<file path=xl/sharedStrings.xml><?xml version="1.0" encoding="utf-8"?>
<sst xmlns="http://schemas.openxmlformats.org/spreadsheetml/2006/main" count="27" uniqueCount="27">
  <si>
    <t>Herb Name</t>
  </si>
  <si>
    <t>Effect</t>
  </si>
  <si>
    <t>Rarity</t>
  </si>
  <si>
    <t>Value</t>
  </si>
  <si>
    <t>Quantity</t>
  </si>
  <si>
    <t>Search Rolls</t>
  </si>
  <si>
    <t>D20:</t>
  </si>
  <si>
    <t>Common</t>
  </si>
  <si>
    <t>D12:</t>
  </si>
  <si>
    <t>Uncommon</t>
  </si>
  <si>
    <t>Herbs Found</t>
  </si>
  <si>
    <t>Rare</t>
  </si>
  <si>
    <t>Ultra Rare</t>
  </si>
  <si>
    <t>Legendary</t>
  </si>
  <si>
    <t>Mythic</t>
  </si>
  <si>
    <t>Banishment</t>
  </si>
  <si>
    <t>DMG</t>
  </si>
  <si>
    <t>NatureDMG</t>
  </si>
  <si>
    <t>Level</t>
  </si>
  <si>
    <t>Cure</t>
  </si>
  <si>
    <t>StatIn</t>
  </si>
  <si>
    <t>StatDec</t>
  </si>
  <si>
    <t>InstaDeath</t>
  </si>
  <si>
    <t>Hunger</t>
  </si>
  <si>
    <t>Thirst</t>
  </si>
  <si>
    <t>Energy</t>
  </si>
  <si>
    <t>TurnOrder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</si>
</sst>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Arial"/>
    </font>
    <font>
      <sz val="9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4" numFmtId="0" xfId="0" applyFont="1"/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5" numFmtId="0" xfId="0" applyFon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Cinnamomum_burmannii" TargetMode="External"/><Relationship Id="rId42" Type="http://schemas.openxmlformats.org/officeDocument/2006/relationships/hyperlink" Target="https://en.wikipedia.org/wiki/Canella_winterana" TargetMode="External"/><Relationship Id="rId41" Type="http://schemas.openxmlformats.org/officeDocument/2006/relationships/hyperlink" Target="https://en.wikipedia.org/wiki/Cinnamon" TargetMode="External"/><Relationship Id="rId44" Type="http://schemas.openxmlformats.org/officeDocument/2006/relationships/hyperlink" Target="https://en.wikipedia.org/wiki/Clove" TargetMode="External"/><Relationship Id="rId43" Type="http://schemas.openxmlformats.org/officeDocument/2006/relationships/hyperlink" Target="https://en.wikipedia.org/wiki/Salvia_sclarea" TargetMode="External"/><Relationship Id="rId46" Type="http://schemas.openxmlformats.org/officeDocument/2006/relationships/hyperlink" Target="https://en.wikipedia.org/wiki/Vietnamese_coriander" TargetMode="External"/><Relationship Id="rId45" Type="http://schemas.openxmlformats.org/officeDocument/2006/relationships/hyperlink" Target="https://en.wikipedia.org/wiki/Coriander_(spice)" TargetMode="External"/><Relationship Id="rId1" Type="http://schemas.openxmlformats.org/officeDocument/2006/relationships/hyperlink" Target="https://en.wikipedia.org/wiki/Ajwain" TargetMode="External"/><Relationship Id="rId2" Type="http://schemas.openxmlformats.org/officeDocument/2006/relationships/hyperlink" Target="https://en.wikipedia.org/wiki/Solanum_centrale" TargetMode="External"/><Relationship Id="rId3" Type="http://schemas.openxmlformats.org/officeDocument/2006/relationships/hyperlink" Target="https://en.wikipedia.org/wiki/Alexanders" TargetMode="External"/><Relationship Id="rId4" Type="http://schemas.openxmlformats.org/officeDocument/2006/relationships/hyperlink" Target="https://en.wikipedia.org/wiki/Alkanna_tinctoria" TargetMode="External"/><Relationship Id="rId9" Type="http://schemas.openxmlformats.org/officeDocument/2006/relationships/hyperlink" Target="https://en.wikipedia.org/wiki/Syzygium_anisatum" TargetMode="External"/><Relationship Id="rId48" Type="http://schemas.openxmlformats.org/officeDocument/2006/relationships/hyperlink" Target="https://en.wikipedia.org/wiki/Cubeb" TargetMode="External"/><Relationship Id="rId47" Type="http://schemas.openxmlformats.org/officeDocument/2006/relationships/hyperlink" Target="https://en.wikipedia.org/wiki/Tanacetum_balsamita" TargetMode="External"/><Relationship Id="rId49" Type="http://schemas.openxmlformats.org/officeDocument/2006/relationships/hyperlink" Target="https://en.wikipedia.org/wiki/Eryngium_foetidum" TargetMode="External"/><Relationship Id="rId5" Type="http://schemas.openxmlformats.org/officeDocument/2006/relationships/hyperlink" Target="https://en.wikipedia.org/wiki/Alligator_pepper" TargetMode="External"/><Relationship Id="rId6" Type="http://schemas.openxmlformats.org/officeDocument/2006/relationships/hyperlink" Target="https://en.wikipedia.org/wiki/Allspice" TargetMode="External"/><Relationship Id="rId7" Type="http://schemas.openxmlformats.org/officeDocument/2006/relationships/hyperlink" Target="https://en.wikipedia.org/wiki/Angelica" TargetMode="External"/><Relationship Id="rId8" Type="http://schemas.openxmlformats.org/officeDocument/2006/relationships/hyperlink" Target="https://en.wikipedia.org/wiki/Anise" TargetMode="External"/><Relationship Id="rId31" Type="http://schemas.openxmlformats.org/officeDocument/2006/relationships/hyperlink" Target="https://en.wikipedia.org/wiki/Cayenne_pepper" TargetMode="External"/><Relationship Id="rId30" Type="http://schemas.openxmlformats.org/officeDocument/2006/relationships/hyperlink" Target="https://en.wikipedia.org/wiki/Catnip" TargetMode="External"/><Relationship Id="rId33" Type="http://schemas.openxmlformats.org/officeDocument/2006/relationships/hyperlink" Target="https://en.wikipedia.org/wiki/Celery" TargetMode="External"/><Relationship Id="rId32" Type="http://schemas.openxmlformats.org/officeDocument/2006/relationships/hyperlink" Target="https://en.wikipedia.org/wiki/Celery" TargetMode="External"/><Relationship Id="rId35" Type="http://schemas.openxmlformats.org/officeDocument/2006/relationships/hyperlink" Target="https://en.wikipedia.org/wiki/Chicory" TargetMode="External"/><Relationship Id="rId34" Type="http://schemas.openxmlformats.org/officeDocument/2006/relationships/hyperlink" Target="https://en.wikipedia.org/wiki/Chervil" TargetMode="External"/><Relationship Id="rId37" Type="http://schemas.openxmlformats.org/officeDocument/2006/relationships/hyperlink" Target="https://en.wikipedia.org/wiki/Chives" TargetMode="External"/><Relationship Id="rId36" Type="http://schemas.openxmlformats.org/officeDocument/2006/relationships/hyperlink" Target="https://en.wikipedia.org/wiki/Chili_pepper" TargetMode="External"/><Relationship Id="rId39" Type="http://schemas.openxmlformats.org/officeDocument/2006/relationships/hyperlink" Target="https://en.wikipedia.org/wiki/Cilantro" TargetMode="External"/><Relationship Id="rId38" Type="http://schemas.openxmlformats.org/officeDocument/2006/relationships/hyperlink" Target="https://en.wikipedia.org/wiki/Cicely" TargetMode="External"/><Relationship Id="rId62" Type="http://schemas.openxmlformats.org/officeDocument/2006/relationships/hyperlink" Target="https://en.wikipedia.org/wiki/Cyperus" TargetMode="External"/><Relationship Id="rId61" Type="http://schemas.openxmlformats.org/officeDocument/2006/relationships/hyperlink" Target="https://en.wikipedia.org/wiki/Lesser_galangal" TargetMode="External"/><Relationship Id="rId20" Type="http://schemas.openxmlformats.org/officeDocument/2006/relationships/hyperlink" Target="https://en.wikipedia.org/wiki/Cinnamomum_tamala" TargetMode="External"/><Relationship Id="rId64" Type="http://schemas.openxmlformats.org/officeDocument/2006/relationships/hyperlink" Target="https://en.wikipedia.org/wiki/Lavender" TargetMode="External"/><Relationship Id="rId63" Type="http://schemas.openxmlformats.org/officeDocument/2006/relationships/hyperlink" Target="https://en.wikipedia.org/wiki/Jakhya" TargetMode="External"/><Relationship Id="rId22" Type="http://schemas.openxmlformats.org/officeDocument/2006/relationships/hyperlink" Target="https://en.wikipedia.org/wiki/Borage" TargetMode="External"/><Relationship Id="rId66" Type="http://schemas.openxmlformats.org/officeDocument/2006/relationships/drawing" Target="../drawings/drawing2.xml"/><Relationship Id="rId21" Type="http://schemas.openxmlformats.org/officeDocument/2006/relationships/hyperlink" Target="https://en.wikipedia.org/wiki/Boldo" TargetMode="External"/><Relationship Id="rId65" Type="http://schemas.openxmlformats.org/officeDocument/2006/relationships/hyperlink" Target="https://en.wikipedia.org/wiki/Yerba_buena" TargetMode="External"/><Relationship Id="rId24" Type="http://schemas.openxmlformats.org/officeDocument/2006/relationships/hyperlink" Target="https://en.wikipedia.org/wiki/California_bay_laurel" TargetMode="External"/><Relationship Id="rId23" Type="http://schemas.openxmlformats.org/officeDocument/2006/relationships/hyperlink" Target="https://en.wikipedia.org/wiki/Trigonella_caerulea" TargetMode="External"/><Relationship Id="rId60" Type="http://schemas.openxmlformats.org/officeDocument/2006/relationships/hyperlink" Target="https://en.wikipedia.org/wiki/Fingerroot" TargetMode="External"/><Relationship Id="rId26" Type="http://schemas.openxmlformats.org/officeDocument/2006/relationships/hyperlink" Target="https://en.wikipedia.org/wiki/Caraway" TargetMode="External"/><Relationship Id="rId25" Type="http://schemas.openxmlformats.org/officeDocument/2006/relationships/hyperlink" Target="https://en.wikipedia.org/wiki/Caper" TargetMode="External"/><Relationship Id="rId28" Type="http://schemas.openxmlformats.org/officeDocument/2006/relationships/hyperlink" Target="https://en.wikipedia.org/wiki/Black_cardamom" TargetMode="External"/><Relationship Id="rId27" Type="http://schemas.openxmlformats.org/officeDocument/2006/relationships/hyperlink" Target="https://en.wikipedia.org/wiki/Cardamom" TargetMode="External"/><Relationship Id="rId29" Type="http://schemas.openxmlformats.org/officeDocument/2006/relationships/hyperlink" Target="https://en.wikipedia.org/wiki/Cinnamomum_aromaticum" TargetMode="External"/><Relationship Id="rId51" Type="http://schemas.openxmlformats.org/officeDocument/2006/relationships/hyperlink" Target="https://en.wikipedia.org/wiki/Curry_tree" TargetMode="External"/><Relationship Id="rId50" Type="http://schemas.openxmlformats.org/officeDocument/2006/relationships/hyperlink" Target="https://en.wikipedia.org/wiki/Cumin" TargetMode="External"/><Relationship Id="rId53" Type="http://schemas.openxmlformats.org/officeDocument/2006/relationships/hyperlink" Target="https://en.wikipedia.org/wiki/Dill" TargetMode="External"/><Relationship Id="rId52" Type="http://schemas.openxmlformats.org/officeDocument/2006/relationships/hyperlink" Target="https://en.wikipedia.org/wiki/Helichrysum_italicum" TargetMode="External"/><Relationship Id="rId11" Type="http://schemas.openxmlformats.org/officeDocument/2006/relationships/hyperlink" Target="https://en.wikipedia.org/wiki/Artemisia_(genus)" TargetMode="External"/><Relationship Id="rId55" Type="http://schemas.openxmlformats.org/officeDocument/2006/relationships/hyperlink" Target="https://en.wikipedia.org/wiki/Sambucus" TargetMode="External"/><Relationship Id="rId10" Type="http://schemas.openxmlformats.org/officeDocument/2006/relationships/hyperlink" Target="https://en.wikipedia.org/wiki/Annatto" TargetMode="External"/><Relationship Id="rId54" Type="http://schemas.openxmlformats.org/officeDocument/2006/relationships/hyperlink" Target="https://en.wikipedia.org/wiki/Dill_seed" TargetMode="External"/><Relationship Id="rId13" Type="http://schemas.openxmlformats.org/officeDocument/2006/relationships/hyperlink" Target="https://en.wikipedia.org/wiki/Geum_urbanum" TargetMode="External"/><Relationship Id="rId57" Type="http://schemas.openxmlformats.org/officeDocument/2006/relationships/hyperlink" Target="https://en.wikipedia.org/wiki/Fennel" TargetMode="External"/><Relationship Id="rId12" Type="http://schemas.openxmlformats.org/officeDocument/2006/relationships/hyperlink" Target="https://en.wikipedia.org/wiki/Asafoetida" TargetMode="External"/><Relationship Id="rId56" Type="http://schemas.openxmlformats.org/officeDocument/2006/relationships/hyperlink" Target="https://en.wikipedia.org/wiki/Dysphania_ambrosioides" TargetMode="External"/><Relationship Id="rId15" Type="http://schemas.openxmlformats.org/officeDocument/2006/relationships/hyperlink" Target="https://en.wikipedia.org/wiki/Basil" TargetMode="External"/><Relationship Id="rId59" Type="http://schemas.openxmlformats.org/officeDocument/2006/relationships/hyperlink" Target="https://en.wikipedia.org/wiki/Fil%C3%A9_powder" TargetMode="External"/><Relationship Id="rId14" Type="http://schemas.openxmlformats.org/officeDocument/2006/relationships/hyperlink" Target="https://en.wikipedia.org/wiki/Avocado" TargetMode="External"/><Relationship Id="rId58" Type="http://schemas.openxmlformats.org/officeDocument/2006/relationships/hyperlink" Target="https://en.wikipedia.org/wiki/Fenugreek" TargetMode="External"/><Relationship Id="rId17" Type="http://schemas.openxmlformats.org/officeDocument/2006/relationships/hyperlink" Target="https://en.wikipedia.org/wiki/Lemon_Basil" TargetMode="External"/><Relationship Id="rId16" Type="http://schemas.openxmlformats.org/officeDocument/2006/relationships/hyperlink" Target="https://en.wikipedia.org/wiki/Holy_basil" TargetMode="External"/><Relationship Id="rId19" Type="http://schemas.openxmlformats.org/officeDocument/2006/relationships/hyperlink" Target="https://en.wikipedia.org/wiki/Laurus_nobilis" TargetMode="External"/><Relationship Id="rId18" Type="http://schemas.openxmlformats.org/officeDocument/2006/relationships/hyperlink" Target="https://en.wikipedia.org/wiki/Thai_bas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58.88"/>
    <col customWidth="1" min="6" max="6" width="5.0"/>
    <col customWidth="1" min="7" max="7" width="6.75"/>
    <col customWidth="1" min="8" max="8" width="59.5"/>
    <col hidden="1" min="13" max="1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>
      <c r="A2" s="4"/>
      <c r="B2" s="4" t="str">
        <f>IFNA(VLOOKUP($A2,Herbs!$A$2:$D$183,COLUMN(B2),false),"")</f>
        <v/>
      </c>
      <c r="C2" s="4" t="str">
        <f>IFNA(VLOOKUP($A2,Herbs!$A$2:$D$183,COLUMN(C2),false),"")</f>
        <v/>
      </c>
      <c r="D2" s="4" t="str">
        <f>IFNA(VLOOKUP($A2,Herbs!$A$2:$D$183,COLUMN(D2),false),"")</f>
        <v/>
      </c>
      <c r="F2" s="5" t="s">
        <v>6</v>
      </c>
      <c r="G2" s="6">
        <v>1.0</v>
      </c>
      <c r="M2" s="7">
        <v>1.0</v>
      </c>
      <c r="N2" s="7">
        <v>5.0</v>
      </c>
      <c r="O2" s="7" t="s">
        <v>7</v>
      </c>
    </row>
    <row r="3">
      <c r="A3" s="4"/>
      <c r="B3" s="4" t="str">
        <f>IFNA(VLOOKUP($A3,Herbs!$A$2:$D$183,COLUMN(B3),false),"")</f>
        <v/>
      </c>
      <c r="C3" s="4" t="str">
        <f>IFNA(VLOOKUP($A3,Herbs!$A$2:$D$183,COLUMN(C3),false),"")</f>
        <v/>
      </c>
      <c r="D3" s="4" t="str">
        <f>IFNA(VLOOKUP($A3,Herbs!$A$2:$D$183,COLUMN(D3),false),"")</f>
        <v/>
      </c>
      <c r="F3" s="5" t="s">
        <v>8</v>
      </c>
      <c r="G3" s="6">
        <v>1.0</v>
      </c>
      <c r="M3" s="7">
        <v>6.0</v>
      </c>
      <c r="N3" s="7">
        <v>8.0</v>
      </c>
      <c r="O3" s="7" t="s">
        <v>9</v>
      </c>
    </row>
    <row r="4">
      <c r="A4" s="7"/>
      <c r="B4" s="4" t="str">
        <f>IFNA(VLOOKUP($A4,Herbs!$A$2:$D$183,COLUMN(B4),false),"")</f>
        <v/>
      </c>
      <c r="C4" s="4" t="str">
        <f>IFNA(VLOOKUP($A4,Herbs!$A$2:$D$183,COLUMN(C4),false),"")</f>
        <v/>
      </c>
      <c r="D4" s="4" t="str">
        <f>IFNA(VLOOKUP($A4,Herbs!$A$2:$D$183,COLUMN(D4),false),"")</f>
        <v/>
      </c>
      <c r="H4" s="8" t="s">
        <v>10</v>
      </c>
      <c r="M4" s="7">
        <v>9.0</v>
      </c>
      <c r="N4" s="7">
        <v>11.0</v>
      </c>
      <c r="O4" s="7" t="s">
        <v>11</v>
      </c>
    </row>
    <row r="5">
      <c r="A5" s="7"/>
      <c r="B5" s="4" t="str">
        <f>IFNA(VLOOKUP($A5,Herbs!$A$2:$D$183,COLUMN(B5),false),"")</f>
        <v/>
      </c>
      <c r="C5" s="4" t="str">
        <f>IFNA(VLOOKUP($A5,Herbs!$A$2:$D$183,COLUMN(C5),false),"")</f>
        <v/>
      </c>
      <c r="D5" s="4" t="str">
        <f>IFNA(VLOOKUP($A5,Herbs!$A$2:$D$183,COLUMN(D5),false),"")</f>
        <v/>
      </c>
      <c r="H5" s="4" t="str">
        <f>IFERROR(__xludf.DUMMYFUNCTION("IFNA(QUERY(Herbs!$A2:$E1000,""SELECT A WHERE C = '""&amp;IFS(AND($G$2&gt;=$M$2,$G$2&lt;=$N$2),$O$2,
AND($G$2&gt;=$M$3,$G$2&lt;=$N$3),$O$3,
AND($G$2&gt;=$M$4,$G$2&lt;=$N$4),$O$4,
AND($G$2&gt;=$M$5,$G$2&lt;=$N$5),$O$5,
AND($G$2&gt;=$M$6,$G$2&lt;=$N$6),$O$6,
AND($G$2&gt;=$M$7,$G$2&lt;=$N$7),$O$7)&amp;"&amp;"""' AND E = '""
&amp;IFS($G$3=$N$9,$O$9,
$G$3=$N$10,$O$10,
$G$3=$N$11,$O$11,
$G$3=$N$12,$O$12,
$G$3=$N$13,$O$13,
$G$3=$N$14,$O$14,
$G$3=$N$15,$O$15,
$G$3=$N$16,$O$16,
$G$3=$N$17,$O$17,
$G$3=$N$18,$O$18,
$G$3=$N$19,$O$19,
$G$3=$N$20,$O$20)&amp;""'""),""No Herb Fou"&amp;"nd"")"),"No Herb Found")</f>
        <v>No Herb Found</v>
      </c>
      <c r="M5" s="7">
        <v>11.0</v>
      </c>
      <c r="N5" s="7">
        <v>15.0</v>
      </c>
      <c r="O5" s="7" t="s">
        <v>12</v>
      </c>
    </row>
    <row r="6">
      <c r="A6" s="7"/>
      <c r="B6" s="4" t="str">
        <f>IFNA(VLOOKUP($A6,Herbs!$A$2:$D$183,COLUMN(B6),false),"")</f>
        <v/>
      </c>
      <c r="C6" s="4" t="str">
        <f>IFNA(VLOOKUP($A6,Herbs!$A$2:$D$183,COLUMN(C6),false),"")</f>
        <v/>
      </c>
      <c r="D6" s="4" t="str">
        <f>IFNA(VLOOKUP($A6,Herbs!$A$2:$D$183,COLUMN(D6),false),"")</f>
        <v/>
      </c>
      <c r="M6" s="7">
        <v>16.0</v>
      </c>
      <c r="N6" s="7">
        <v>18.0</v>
      </c>
      <c r="O6" s="7" t="s">
        <v>13</v>
      </c>
    </row>
    <row r="7">
      <c r="A7" s="7"/>
      <c r="B7" s="4" t="str">
        <f>IFNA(VLOOKUP($A7,Herbs!$A$2:$D$183,COLUMN(B7),false),"")</f>
        <v/>
      </c>
      <c r="C7" s="4" t="str">
        <f>IFNA(VLOOKUP($A7,Herbs!$A$2:$D$183,COLUMN(C7),false),"")</f>
        <v/>
      </c>
      <c r="D7" s="4" t="str">
        <f>IFNA(VLOOKUP($A7,Herbs!$A$2:$D$183,COLUMN(D7),false),"")</f>
        <v/>
      </c>
      <c r="M7" s="7">
        <v>19.0</v>
      </c>
      <c r="N7" s="7">
        <v>20.0</v>
      </c>
      <c r="O7" s="7" t="s">
        <v>14</v>
      </c>
    </row>
    <row r="8">
      <c r="A8" s="7"/>
      <c r="B8" s="4" t="str">
        <f>IFNA(VLOOKUP($A8,Herbs!$A$2:$D$183,COLUMN(B8),false),"")</f>
        <v/>
      </c>
      <c r="C8" s="4" t="str">
        <f>IFNA(VLOOKUP($A8,Herbs!$A$2:$D$183,COLUMN(C8),false),"")</f>
        <v/>
      </c>
      <c r="D8" s="4" t="str">
        <f>IFNA(VLOOKUP($A8,Herbs!$A$2:$D$183,COLUMN(D8),false),"")</f>
        <v/>
      </c>
    </row>
    <row r="9">
      <c r="A9" s="7"/>
      <c r="B9" s="4" t="str">
        <f>IFNA(VLOOKUP($A9,Herbs!$A$2:$D$183,COLUMN(B9),false),"")</f>
        <v/>
      </c>
      <c r="C9" s="4" t="str">
        <f>IFNA(VLOOKUP($A9,Herbs!$A$2:$D$183,COLUMN(C9),false),"")</f>
        <v/>
      </c>
      <c r="D9" s="4" t="str">
        <f>IFNA(VLOOKUP($A9,Herbs!$A$2:$D$183,COLUMN(D9),false),"")</f>
        <v/>
      </c>
      <c r="N9" s="7">
        <v>1.0</v>
      </c>
      <c r="O9" s="7" t="s">
        <v>15</v>
      </c>
    </row>
    <row r="10">
      <c r="A10" s="7"/>
      <c r="B10" s="4" t="str">
        <f>IFNA(VLOOKUP($A10,Herbs!$A$2:$D$183,COLUMN(B10),false),"")</f>
        <v/>
      </c>
      <c r="C10" s="4" t="str">
        <f>IFNA(VLOOKUP($A10,Herbs!$A$2:$D$183,COLUMN(C10),false),"")</f>
        <v/>
      </c>
      <c r="D10" s="4" t="str">
        <f>IFNA(VLOOKUP($A10,Herbs!$A$2:$D$183,COLUMN(D10),false),"")</f>
        <v/>
      </c>
      <c r="N10" s="7">
        <v>2.0</v>
      </c>
      <c r="O10" s="7" t="s">
        <v>16</v>
      </c>
    </row>
    <row r="11">
      <c r="A11" s="7"/>
      <c r="B11" s="4" t="str">
        <f>IFNA(VLOOKUP($A11,Herbs!$A$2:$D$183,COLUMN(B11),false),"")</f>
        <v/>
      </c>
      <c r="C11" s="4" t="str">
        <f>IFNA(VLOOKUP($A11,Herbs!$A$2:$D$183,COLUMN(C11),false),"")</f>
        <v/>
      </c>
      <c r="D11" s="4" t="str">
        <f>IFNA(VLOOKUP($A11,Herbs!$A$2:$D$183,COLUMN(D11),false),"")</f>
        <v/>
      </c>
      <c r="N11" s="7">
        <v>3.0</v>
      </c>
      <c r="O11" s="7" t="s">
        <v>17</v>
      </c>
    </row>
    <row r="12">
      <c r="A12" s="7"/>
      <c r="B12" s="4" t="str">
        <f>IFNA(VLOOKUP($A12,Herbs!$A$2:$D$183,COLUMN(B12),false),"")</f>
        <v/>
      </c>
      <c r="C12" s="4" t="str">
        <f>IFNA(VLOOKUP($A12,Herbs!$A$2:$D$183,COLUMN(C12),false),"")</f>
        <v/>
      </c>
      <c r="D12" s="4" t="str">
        <f>IFNA(VLOOKUP($A12,Herbs!$A$2:$D$183,COLUMN(D12),false),"")</f>
        <v/>
      </c>
      <c r="N12" s="7">
        <v>4.0</v>
      </c>
      <c r="O12" s="7" t="s">
        <v>18</v>
      </c>
    </row>
    <row r="13">
      <c r="A13" s="7"/>
      <c r="B13" s="4" t="str">
        <f>IFNA(VLOOKUP($A13,Herbs!$A$2:$D$183,COLUMN(B13),false),"")</f>
        <v/>
      </c>
      <c r="C13" s="4" t="str">
        <f>IFNA(VLOOKUP($A13,Herbs!$A$2:$D$183,COLUMN(C13),false),"")</f>
        <v/>
      </c>
      <c r="D13" s="4" t="str">
        <f>IFNA(VLOOKUP($A13,Herbs!$A$2:$D$183,COLUMN(D13),false),"")</f>
        <v/>
      </c>
      <c r="N13" s="7">
        <v>5.0</v>
      </c>
      <c r="O13" s="7" t="s">
        <v>19</v>
      </c>
    </row>
    <row r="14">
      <c r="A14" s="7"/>
      <c r="B14" s="4" t="str">
        <f>IFNA(VLOOKUP($A14,Herbs!$A$2:$D$183,COLUMN(B14),false),"")</f>
        <v/>
      </c>
      <c r="C14" s="4" t="str">
        <f>IFNA(VLOOKUP($A14,Herbs!$A$2:$D$183,COLUMN(C14),false),"")</f>
        <v/>
      </c>
      <c r="D14" s="4" t="str">
        <f>IFNA(VLOOKUP($A14,Herbs!$A$2:$D$183,COLUMN(D14),false),"")</f>
        <v/>
      </c>
      <c r="N14" s="7">
        <v>6.0</v>
      </c>
      <c r="O14" s="7" t="s">
        <v>20</v>
      </c>
    </row>
    <row r="15">
      <c r="A15" s="7"/>
      <c r="B15" s="4" t="str">
        <f>IFNA(VLOOKUP($A15,Herbs!$A$2:$D$183,COLUMN(B15),false),"")</f>
        <v/>
      </c>
      <c r="C15" s="4" t="str">
        <f>IFNA(VLOOKUP($A15,Herbs!$A$2:$D$183,COLUMN(C15),false),"")</f>
        <v/>
      </c>
      <c r="D15" s="4" t="str">
        <f>IFNA(VLOOKUP($A15,Herbs!$A$2:$D$183,COLUMN(D15),false),"")</f>
        <v/>
      </c>
      <c r="N15" s="7">
        <v>7.0</v>
      </c>
      <c r="O15" s="7" t="s">
        <v>21</v>
      </c>
    </row>
    <row r="16">
      <c r="A16" s="7"/>
      <c r="B16" s="4" t="str">
        <f>IFNA(VLOOKUP($A16,Herbs!$A$2:$D$183,COLUMN(B16),false),"")</f>
        <v/>
      </c>
      <c r="C16" s="4" t="str">
        <f>IFNA(VLOOKUP($A16,Herbs!$A$2:$D$183,COLUMN(C16),false),"")</f>
        <v/>
      </c>
      <c r="D16" s="4" t="str">
        <f>IFNA(VLOOKUP($A16,Herbs!$A$2:$D$183,COLUMN(D16),false),"")</f>
        <v/>
      </c>
      <c r="N16" s="7">
        <v>8.0</v>
      </c>
      <c r="O16" s="7" t="s">
        <v>22</v>
      </c>
    </row>
    <row r="17">
      <c r="A17" s="7"/>
      <c r="B17" s="4" t="str">
        <f>IFNA(VLOOKUP($A17,Herbs!$A$2:$D$183,COLUMN(B17),false),"")</f>
        <v/>
      </c>
      <c r="C17" s="4" t="str">
        <f>IFNA(VLOOKUP($A17,Herbs!$A$2:$D$183,COLUMN(C17),false),"")</f>
        <v/>
      </c>
      <c r="D17" s="4" t="str">
        <f>IFNA(VLOOKUP($A17,Herbs!$A$2:$D$183,COLUMN(D17),false),"")</f>
        <v/>
      </c>
      <c r="N17" s="7">
        <v>9.0</v>
      </c>
      <c r="O17" s="7" t="s">
        <v>23</v>
      </c>
    </row>
    <row r="18">
      <c r="A18" s="7"/>
      <c r="B18" s="4" t="str">
        <f>IFNA(VLOOKUP($A18,Herbs!$A$2:$D$183,COLUMN(B18),false),"")</f>
        <v/>
      </c>
      <c r="C18" s="4" t="str">
        <f>IFNA(VLOOKUP($A18,Herbs!$A$2:$D$183,COLUMN(C18),false),"")</f>
        <v/>
      </c>
      <c r="D18" s="4" t="str">
        <f>IFNA(VLOOKUP($A18,Herbs!$A$2:$D$183,COLUMN(D18),false),"")</f>
        <v/>
      </c>
      <c r="N18" s="7">
        <v>10.0</v>
      </c>
      <c r="O18" s="7" t="s">
        <v>24</v>
      </c>
    </row>
    <row r="19">
      <c r="A19" s="7"/>
      <c r="B19" s="4" t="str">
        <f>IFNA(VLOOKUP($A19,Herbs!$A$2:$D$183,COLUMN(B19),false),"")</f>
        <v/>
      </c>
      <c r="C19" s="4" t="str">
        <f>IFNA(VLOOKUP($A19,Herbs!$A$2:$D$183,COLUMN(C19),false),"")</f>
        <v/>
      </c>
      <c r="D19" s="4" t="str">
        <f>IFNA(VLOOKUP($A19,Herbs!$A$2:$D$183,COLUMN(D19),false),"")</f>
        <v/>
      </c>
      <c r="N19" s="7">
        <v>11.0</v>
      </c>
      <c r="O19" s="7" t="s">
        <v>25</v>
      </c>
    </row>
    <row r="20">
      <c r="A20" s="7"/>
      <c r="B20" s="4" t="str">
        <f>IFNA(VLOOKUP($A20,Herbs!$A$2:$D$183,COLUMN(B20),false),"")</f>
        <v/>
      </c>
      <c r="C20" s="4" t="str">
        <f>IFNA(VLOOKUP($A20,Herbs!$A$2:$D$183,COLUMN(C20),false),"")</f>
        <v/>
      </c>
      <c r="D20" s="4" t="str">
        <f>IFNA(VLOOKUP($A20,Herbs!$A$2:$D$183,COLUMN(D20),false),"")</f>
        <v/>
      </c>
      <c r="N20" s="7">
        <v>12.0</v>
      </c>
      <c r="O20" s="7" t="s">
        <v>26</v>
      </c>
    </row>
    <row r="21">
      <c r="A21" s="7"/>
      <c r="B21" s="4" t="str">
        <f>IFNA(VLOOKUP($A21,Herbs!$A$2:$D$183,COLUMN(B21),false),"")</f>
        <v/>
      </c>
      <c r="C21" s="4" t="str">
        <f>IFNA(VLOOKUP($A21,Herbs!$A$2:$D$183,COLUMN(C21),false),"")</f>
        <v/>
      </c>
      <c r="D21" s="4" t="str">
        <f>IFNA(VLOOKUP($A21,Herbs!$A$2:$D$183,COLUMN(D21),false),"")</f>
        <v/>
      </c>
    </row>
    <row r="22">
      <c r="A22" s="7"/>
      <c r="B22" s="4" t="str">
        <f>IFNA(VLOOKUP($A22,Herbs!$A$2:$D$183,COLUMN(B22),false),"")</f>
        <v/>
      </c>
      <c r="C22" s="4" t="str">
        <f>IFNA(VLOOKUP($A22,Herbs!$A$2:$D$183,COLUMN(C22),false),"")</f>
        <v/>
      </c>
      <c r="D22" s="4" t="str">
        <f>IFNA(VLOOKUP($A22,Herbs!$A$2:$D$183,COLUMN(D22),false),"")</f>
        <v/>
      </c>
    </row>
    <row r="23">
      <c r="A23" s="7"/>
      <c r="B23" s="4" t="str">
        <f>IFNA(VLOOKUP($A23,Herbs!$A$2:$D$183,COLUMN(B23),false),"")</f>
        <v/>
      </c>
      <c r="C23" s="4" t="str">
        <f>IFNA(VLOOKUP($A23,Herbs!$A$2:$D$183,COLUMN(C23),false),"")</f>
        <v/>
      </c>
      <c r="D23" s="4" t="str">
        <f>IFNA(VLOOKUP($A23,Herbs!$A$2:$D$183,COLUMN(D23),false),"")</f>
        <v/>
      </c>
    </row>
    <row r="24">
      <c r="A24" s="7"/>
      <c r="B24" s="4" t="str">
        <f>IFNA(VLOOKUP($A24,Herbs!$A$2:$D$183,COLUMN(B24),false),"")</f>
        <v/>
      </c>
      <c r="C24" s="4" t="str">
        <f>IFNA(VLOOKUP($A24,Herbs!$A$2:$D$183,COLUMN(C24),false),"")</f>
        <v/>
      </c>
      <c r="D24" s="4" t="str">
        <f>IFNA(VLOOKUP($A24,Herbs!$A$2:$D$183,COLUMN(D24),false),"")</f>
        <v/>
      </c>
    </row>
    <row r="25">
      <c r="A25" s="7"/>
      <c r="B25" s="4" t="str">
        <f>IFNA(VLOOKUP($A25,Herbs!$A$2:$D$183,COLUMN(B25),false),"")</f>
        <v/>
      </c>
      <c r="C25" s="4" t="str">
        <f>IFNA(VLOOKUP($A25,Herbs!$A$2:$D$183,COLUMN(C25),false),"")</f>
        <v/>
      </c>
      <c r="D25" s="4" t="str">
        <f>IFNA(VLOOKUP($A25,Herbs!$A$2:$D$183,COLUMN(D25),false),"")</f>
        <v/>
      </c>
    </row>
    <row r="26">
      <c r="A26" s="7"/>
      <c r="B26" s="4" t="str">
        <f>IFNA(VLOOKUP($A26,Herbs!$A$2:$D$183,COLUMN(B26),false),"")</f>
        <v/>
      </c>
      <c r="C26" s="4" t="str">
        <f>IFNA(VLOOKUP($A26,Herbs!$A$2:$D$183,COLUMN(C26),false),"")</f>
        <v/>
      </c>
      <c r="D26" s="4" t="str">
        <f>IFNA(VLOOKUP($A26,Herbs!$A$2:$D$183,COLUMN(D26),false),"")</f>
        <v/>
      </c>
    </row>
    <row r="27">
      <c r="A27" s="7"/>
      <c r="B27" s="4" t="str">
        <f>IFNA(VLOOKUP($A27,Herbs!$A$2:$D$183,COLUMN(B27),false),"")</f>
        <v/>
      </c>
      <c r="C27" s="4" t="str">
        <f>IFNA(VLOOKUP($A27,Herbs!$A$2:$D$183,COLUMN(C27),false),"")</f>
        <v/>
      </c>
      <c r="D27" s="4" t="str">
        <f>IFNA(VLOOKUP($A27,Herbs!$A$2:$D$183,COLUMN(D27),false),"")</f>
        <v/>
      </c>
    </row>
    <row r="28">
      <c r="A28" s="7"/>
      <c r="B28" s="4" t="str">
        <f>IFNA(VLOOKUP($A28,Herbs!$A$2:$D$183,COLUMN(B28),false),"")</f>
        <v/>
      </c>
      <c r="C28" s="4" t="str">
        <f>IFNA(VLOOKUP($A28,Herbs!$A$2:$D$183,COLUMN(C28),false),"")</f>
        <v/>
      </c>
      <c r="D28" s="4" t="str">
        <f>IFNA(VLOOKUP($A28,Herbs!$A$2:$D$183,COLUMN(D28),false),"")</f>
        <v/>
      </c>
    </row>
    <row r="29">
      <c r="A29" s="7"/>
      <c r="B29" s="4" t="str">
        <f>IFNA(VLOOKUP($A29,Herbs!$A$2:$D$183,COLUMN(B29),false),"")</f>
        <v/>
      </c>
      <c r="C29" s="4" t="str">
        <f>IFNA(VLOOKUP($A29,Herbs!$A$2:$D$183,COLUMN(C29),false),"")</f>
        <v/>
      </c>
      <c r="D29" s="4" t="str">
        <f>IFNA(VLOOKUP($A29,Herbs!$A$2:$D$183,COLUMN(D29),false),"")</f>
        <v/>
      </c>
    </row>
    <row r="30">
      <c r="A30" s="7"/>
      <c r="B30" s="4" t="str">
        <f>IFNA(VLOOKUP($A30,Herbs!$A$2:$D$183,COLUMN(B30),false),"")</f>
        <v/>
      </c>
      <c r="C30" s="4" t="str">
        <f>IFNA(VLOOKUP($A30,Herbs!$A$2:$D$183,COLUMN(C30),false),"")</f>
        <v/>
      </c>
      <c r="D30" s="4" t="str">
        <f>IFNA(VLOOKUP($A30,Herbs!$A$2:$D$183,COLUMN(D30),false),"")</f>
        <v/>
      </c>
    </row>
    <row r="31">
      <c r="A31" s="7"/>
      <c r="B31" s="4" t="str">
        <f>IFNA(VLOOKUP($A31,Herbs!$A$2:$D$183,COLUMN(B31),false),"")</f>
        <v/>
      </c>
      <c r="C31" s="4" t="str">
        <f>IFNA(VLOOKUP($A31,Herbs!$A$2:$D$183,COLUMN(C31),false),"")</f>
        <v/>
      </c>
      <c r="D31" s="4" t="str">
        <f>IFNA(VLOOKUP($A31,Herbs!$A$2:$D$183,COLUMN(D31),false),"")</f>
        <v/>
      </c>
    </row>
  </sheetData>
  <mergeCells count="1">
    <mergeCell ref="F1:G1"/>
  </mergeCells>
  <dataValidations>
    <dataValidation type="decimal" allowBlank="1" showDropDown="1" showErrorMessage="1" sqref="G2">
      <formula1>1.0</formula1>
      <formula2>20.0</formula2>
    </dataValidation>
    <dataValidation type="list" allowBlank="1" sqref="A2:A31">
      <formula1>Herbs!$A$2:$A$183</formula1>
    </dataValidation>
    <dataValidation type="decimal" allowBlank="1" showDropDown="1" showErrorMessage="1" sqref="G3">
      <formula1>1.0</formula1>
      <formula2>12.0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</cols>
  <sheetData>
    <row r="1">
      <c r="A1" s="9" t="str">
        <f>IFERROR(__xludf.DUMMYFUNCTION("IMPORTRANGE(""https://docs.google.com/spreadsheets/d/1HXoAI5UG3zq1UHqU5n7fPdbQk93qOha2VQb1r7iRi1o"",""Herbs!A:AO"")"),"Name:")</f>
        <v>Name:</v>
      </c>
      <c r="B1" s="9" t="str">
        <f>IFERROR(__xludf.DUMMYFUNCTION("""COMPUTED_VALUE"""),"Effect:")</f>
        <v>Effect:</v>
      </c>
      <c r="C1" s="9" t="str">
        <f>IFERROR(__xludf.DUMMYFUNCTION("""COMPUTED_VALUE"""),"Rarity:")</f>
        <v>Rarity:</v>
      </c>
      <c r="D1" s="9" t="str">
        <f>IFERROR(__xludf.DUMMYFUNCTION("""COMPUTED_VALUE"""),"Value:")</f>
        <v>Value:</v>
      </c>
      <c r="E1" s="4" t="str">
        <f>IFERROR(__xludf.DUMMYFUNCTION("""COMPUTED_VALUE"""),"Type")</f>
        <v>Type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 t="str">
        <f>IFERROR(__xludf.DUMMYFUNCTION("""COMPUTED_VALUE"""),"Ajwain, carom seeds")</f>
        <v>Ajwain, carom seeds</v>
      </c>
      <c r="B2" s="9" t="str">
        <f>IFERROR(__xludf.DUMMYFUNCTION("""COMPUTED_VALUE"""),"Turn Order (+2)")</f>
        <v>Turn Order (+2)</v>
      </c>
      <c r="C2" s="9" t="str">
        <f>IFERROR(__xludf.DUMMYFUNCTION("""COMPUTED_VALUE"""),"Rare")</f>
        <v>Rare</v>
      </c>
      <c r="D2" s="11">
        <f>IFERROR(__xludf.DUMMYFUNCTION("""COMPUTED_VALUE"""),20000.0)</f>
        <v>20000</v>
      </c>
      <c r="E2" s="4" t="str">
        <f>IFERROR(__xludf.DUMMYFUNCTION("""COMPUTED_VALUE"""),"TurnOrder")</f>
        <v>TurnOrder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 t="str">
        <f>IFERROR(__xludf.DUMMYFUNCTION("""COMPUTED_VALUE"""),"Akudjura (Solanum centrale)")</f>
        <v>Akudjura (Solanum centrale)</v>
      </c>
      <c r="B3" s="9" t="str">
        <f>IFERROR(__xludf.DUMMYFUNCTION("""COMPUTED_VALUE"""),"Stat Increase (+5 to one perk until end of battle or for 1 rp action.)")</f>
        <v>Stat Increase (+5 to one perk until end of battle or for 1 rp action.)</v>
      </c>
      <c r="C3" s="9" t="str">
        <f>IFERROR(__xludf.DUMMYFUNCTION("""COMPUTED_VALUE"""),"Legendary")</f>
        <v>Legendary</v>
      </c>
      <c r="D3" s="11">
        <f>IFERROR(__xludf.DUMMYFUNCTION("""COMPUTED_VALUE"""),20000.0)</f>
        <v>20000</v>
      </c>
      <c r="E3" s="4" t="str">
        <f>IFERROR(__xludf.DUMMYFUNCTION("""COMPUTED_VALUE"""),"Statin")</f>
        <v>Statin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 t="str">
        <f>IFERROR(__xludf.DUMMYFUNCTION("""COMPUTED_VALUE"""),"Alexanders (Smyrnium olusatrum)")</f>
        <v>Alexanders (Smyrnium olusatrum)</v>
      </c>
      <c r="B4" s="9" t="str">
        <f>IFERROR(__xludf.DUMMYFUNCTION("""COMPUTED_VALUE"""),"Disease Antidote")</f>
        <v>Disease Antidote</v>
      </c>
      <c r="C4" s="9" t="str">
        <f>IFERROR(__xludf.DUMMYFUNCTION("""COMPUTED_VALUE"""),"Rare")</f>
        <v>Rare</v>
      </c>
      <c r="D4" s="11">
        <f>IFERROR(__xludf.DUMMYFUNCTION("""COMPUTED_VALUE"""),20000.0)</f>
        <v>20000</v>
      </c>
      <c r="E4" s="4" t="str">
        <f>IFERROR(__xludf.DUMMYFUNCTION("""COMPUTED_VALUE"""),"Cure")</f>
        <v>Cure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tr">
        <f>IFERROR(__xludf.DUMMYFUNCTION("""COMPUTED_VALUE"""),"Alkanet (Alkanna tinctoria), for red color")</f>
        <v>Alkanet (Alkanna tinctoria), for red color</v>
      </c>
      <c r="B5" s="9" t="str">
        <f>IFERROR(__xludf.DUMMYFUNCTION("""COMPUTED_VALUE"""),"Level +1")</f>
        <v>Level +1</v>
      </c>
      <c r="C5" s="9" t="str">
        <f>IFERROR(__xludf.DUMMYFUNCTION("""COMPUTED_VALUE"""),"Common")</f>
        <v>Common</v>
      </c>
      <c r="D5" s="11">
        <f>IFERROR(__xludf.DUMMYFUNCTION("""COMPUTED_VALUE"""),20000.0)</f>
        <v>20000</v>
      </c>
      <c r="E5" s="4" t="str">
        <f>IFERROR(__xludf.DUMMYFUNCTION("""COMPUTED_VALUE"""),"Level")</f>
        <v>Level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 t="str">
        <f>IFERROR(__xludf.DUMMYFUNCTION("""COMPUTED_VALUE"""),"Alligator pepper,")</f>
        <v>Alligator pepper,</v>
      </c>
      <c r="B6" s="9" t="str">
        <f>IFERROR(__xludf.DUMMYFUNCTION("""COMPUTED_VALUE"""),"Stat Increase (+5 to one perk until end of battle or for 1 rp action.)")</f>
        <v>Stat Increase (+5 to one perk until end of battle or for 1 rp action.)</v>
      </c>
      <c r="C6" s="9" t="str">
        <f>IFERROR(__xludf.DUMMYFUNCTION("""COMPUTED_VALUE"""),"Common")</f>
        <v>Common</v>
      </c>
      <c r="D6" s="11">
        <f>IFERROR(__xludf.DUMMYFUNCTION("""COMPUTED_VALUE"""),20000.0)</f>
        <v>20000</v>
      </c>
      <c r="E6" s="4" t="str">
        <f>IFERROR(__xludf.DUMMYFUNCTION("""COMPUTED_VALUE"""),"StatIn")</f>
        <v>StatIn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tr">
        <f>IFERROR(__xludf.DUMMYFUNCTION("""COMPUTED_VALUE"""),"Allspice (Pimenta dioica)")</f>
        <v>Allspice (Pimenta dioica)</v>
      </c>
      <c r="B7" s="9" t="str">
        <f>IFERROR(__xludf.DUMMYFUNCTION("""COMPUTED_VALUE"""),"Stat Increase (+5 to one perk until end of battle or for 1 rp action.)")</f>
        <v>Stat Increase (+5 to one perk until end of battle or for 1 rp action.)</v>
      </c>
      <c r="C7" s="9" t="str">
        <f>IFERROR(__xludf.DUMMYFUNCTION("""COMPUTED_VALUE"""),"Uncommon")</f>
        <v>Uncommon</v>
      </c>
      <c r="D7" s="11">
        <f>IFERROR(__xludf.DUMMYFUNCTION("""COMPUTED_VALUE"""),20000.0)</f>
        <v>20000</v>
      </c>
      <c r="E7" s="4" t="str">
        <f>IFERROR(__xludf.DUMMYFUNCTION("""COMPUTED_VALUE"""),"StatIn")</f>
        <v>StatIn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 t="str">
        <f>IFERROR(__xludf.DUMMYFUNCTION("""COMPUTED_VALUE"""),"Angelica (Angelica archangelica)")</f>
        <v>Angelica (Angelica archangelica)</v>
      </c>
      <c r="B8" s="9" t="str">
        <f>IFERROR(__xludf.DUMMYFUNCTION("""COMPUTED_VALUE"""),"Stat Increase (+5 to one perk until end of battle or for 1 rp action.)")</f>
        <v>Stat Increase (+5 to one perk until end of battle or for 1 rp action.)</v>
      </c>
      <c r="C8" s="9" t="str">
        <f>IFERROR(__xludf.DUMMYFUNCTION("""COMPUTED_VALUE"""),"Mythic")</f>
        <v>Mythic</v>
      </c>
      <c r="D8" s="11">
        <f>IFERROR(__xludf.DUMMYFUNCTION("""COMPUTED_VALUE"""),20000.0)</f>
        <v>20000</v>
      </c>
      <c r="E8" s="4" t="str">
        <f>IFERROR(__xludf.DUMMYFUNCTION("""COMPUTED_VALUE"""),"Statin")</f>
        <v>Statin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0" t="str">
        <f>IFERROR(__xludf.DUMMYFUNCTION("""COMPUTED_VALUE"""),"Anise (Pimpinella anisum)")</f>
        <v>Anise (Pimpinella anisum)</v>
      </c>
      <c r="B9" s="9" t="str">
        <f>IFERROR(__xludf.DUMMYFUNCTION("""COMPUTED_VALUE"""),"Level Gain (+1 level)")</f>
        <v>Level Gain (+1 level)</v>
      </c>
      <c r="C9" s="9" t="str">
        <f>IFERROR(__xludf.DUMMYFUNCTION("""COMPUTED_VALUE"""),"Uncommon")</f>
        <v>Uncommon</v>
      </c>
      <c r="D9" s="11">
        <f>IFERROR(__xludf.DUMMYFUNCTION("""COMPUTED_VALUE"""),20000.0)</f>
        <v>20000</v>
      </c>
      <c r="E9" s="4" t="str">
        <f>IFERROR(__xludf.DUMMYFUNCTION("""COMPUTED_VALUE"""),"Level")</f>
        <v>Level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 t="str">
        <f>IFERROR(__xludf.DUMMYFUNCTION("""COMPUTED_VALUE"""),"Aniseed myrtle (Syzygium anisatum)")</f>
        <v>Aniseed myrtle (Syzygium anisatum)</v>
      </c>
      <c r="B10" s="9" t="str">
        <f>IFERROR(__xludf.DUMMYFUNCTION("""COMPUTED_VALUE"""),"Restore 100HP")</f>
        <v>Restore 100HP</v>
      </c>
      <c r="C10" s="9" t="str">
        <f>IFERROR(__xludf.DUMMYFUNCTION("""COMPUTED_VALUE"""),"Legendary")</f>
        <v>Legendary</v>
      </c>
      <c r="D10" s="11">
        <f>IFERROR(__xludf.DUMMYFUNCTION("""COMPUTED_VALUE"""),20000.0)</f>
        <v>20000</v>
      </c>
      <c r="E10" s="4" t="str">
        <f>IFERROR(__xludf.DUMMYFUNCTION("""COMPUTED_VALUE"""),"Restore")</f>
        <v>Restore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tr">
        <f>IFERROR(__xludf.DUMMYFUNCTION("""COMPUTED_VALUE"""),"Annatto (Bixa orellana)")</f>
        <v>Annatto (Bixa orellana)</v>
      </c>
      <c r="B11" s="9" t="str">
        <f>IFERROR(__xludf.DUMMYFUNCTION("""COMPUTED_VALUE"""),"Turn Order (-2)")</f>
        <v>Turn Order (-2)</v>
      </c>
      <c r="C11" s="9" t="str">
        <f>IFERROR(__xludf.DUMMYFUNCTION("""COMPUTED_VALUE"""),"Legendary")</f>
        <v>Legendary</v>
      </c>
      <c r="D11" s="11">
        <f>IFERROR(__xludf.DUMMYFUNCTION("""COMPUTED_VALUE"""),20000.0)</f>
        <v>20000</v>
      </c>
      <c r="E11" s="4" t="str">
        <f>IFERROR(__xludf.DUMMYFUNCTION("""COMPUTED_VALUE"""),"TurnOrder")</f>
        <v>TurnOrder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tr">
        <f>IFERROR(__xludf.DUMMYFUNCTION("""COMPUTED_VALUE"""),"Artemisia (Artemisia spp.)")</f>
        <v>Artemisia (Artemisia spp.)</v>
      </c>
      <c r="B12" s="9" t="str">
        <f>IFERROR(__xludf.DUMMYFUNCTION("""COMPUTED_VALUE"""),"Level Gain (+2 levels)")</f>
        <v>Level Gain (+2 levels)</v>
      </c>
      <c r="C12" s="9" t="str">
        <f>IFERROR(__xludf.DUMMYFUNCTION("""COMPUTED_VALUE"""),"Mythic")</f>
        <v>Mythic</v>
      </c>
      <c r="D12" s="11">
        <f>IFERROR(__xludf.DUMMYFUNCTION("""COMPUTED_VALUE"""),20000.0)</f>
        <v>20000</v>
      </c>
      <c r="E12" s="4" t="str">
        <f>IFERROR(__xludf.DUMMYFUNCTION("""COMPUTED_VALUE"""),"Level")</f>
        <v>Level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 t="str">
        <f>IFERROR(__xludf.DUMMYFUNCTION("""COMPUTED_VALUE"""),"Asafoetida (Ferula assafoetida)")</f>
        <v>Asafoetida (Ferula assafoetida)</v>
      </c>
      <c r="B13" s="9" t="str">
        <f>IFERROR(__xludf.DUMMYFUNCTION("""COMPUTED_VALUE"""),"Instant Death")</f>
        <v>Instant Death</v>
      </c>
      <c r="C13" s="9" t="str">
        <f>IFERROR(__xludf.DUMMYFUNCTION("""COMPUTED_VALUE"""),"Ultra Rare")</f>
        <v>Ultra Rare</v>
      </c>
      <c r="D13" s="11">
        <f>IFERROR(__xludf.DUMMYFUNCTION("""COMPUTED_VALUE"""),20000.0)</f>
        <v>20000</v>
      </c>
      <c r="E13" s="4" t="str">
        <f>IFERROR(__xludf.DUMMYFUNCTION("""COMPUTED_VALUE"""),"InstaDeath")</f>
        <v>InstaDeath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" t="str">
        <f>IFERROR(__xludf.DUMMYFUNCTION("""COMPUTED_VALUE"""),"Avens (Geum urbanum)")</f>
        <v>Avens (Geum urbanum)</v>
      </c>
      <c r="B14" s="9" t="str">
        <f>IFERROR(__xludf.DUMMYFUNCTION("""COMPUTED_VALUE"""),"Curse Antidote")</f>
        <v>Curse Antidote</v>
      </c>
      <c r="C14" s="9" t="str">
        <f>IFERROR(__xludf.DUMMYFUNCTION("""COMPUTED_VALUE"""),"Rare")</f>
        <v>Rare</v>
      </c>
      <c r="D14" s="11">
        <f>IFERROR(__xludf.DUMMYFUNCTION("""COMPUTED_VALUE"""),20000.0)</f>
        <v>20000</v>
      </c>
      <c r="E14" s="4" t="str">
        <f>IFERROR(__xludf.DUMMYFUNCTION("""COMPUTED_VALUE"""),"Cure")</f>
        <v>Cure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 t="str">
        <f>IFERROR(__xludf.DUMMYFUNCTION("""COMPUTED_VALUE"""),"Avocado leaf (Persea americana)")</f>
        <v>Avocado leaf (Persea americana)</v>
      </c>
      <c r="B15" s="9" t="str">
        <f>IFERROR(__xludf.DUMMYFUNCTION("""COMPUTED_VALUE"""),"Stat Increase (+5 to one perk until end of battle or for 1 rp action.)")</f>
        <v>Stat Increase (+5 to one perk until end of battle or for 1 rp action.)</v>
      </c>
      <c r="C15" s="9" t="str">
        <f>IFERROR(__xludf.DUMMYFUNCTION("""COMPUTED_VALUE"""),"Common")</f>
        <v>Common</v>
      </c>
      <c r="D15" s="11">
        <f>IFERROR(__xludf.DUMMYFUNCTION("""COMPUTED_VALUE"""),20000.0)</f>
        <v>20000</v>
      </c>
      <c r="E15" s="4" t="str">
        <f>IFERROR(__xludf.DUMMYFUNCTION("""COMPUTED_VALUE"""),"Statin")</f>
        <v>Statin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 t="str">
        <f>IFERROR(__xludf.DUMMYFUNCTION("""COMPUTED_VALUE"""),"Barberry (Berberis vulgaris and other Berberis spp.)")</f>
        <v>Barberry (Berberis vulgaris and other Berberis spp.)</v>
      </c>
      <c r="B16" s="9" t="str">
        <f>IFERROR(__xludf.DUMMYFUNCTION("""COMPUTED_VALUE"""),"Stat Increase (+5 to one perk until end of battle or for 1 rp action.)")</f>
        <v>Stat Increase (+5 to one perk until end of battle or for 1 rp action.)</v>
      </c>
      <c r="C16" s="9" t="str">
        <f>IFERROR(__xludf.DUMMYFUNCTION("""COMPUTED_VALUE"""),"Common")</f>
        <v>Common</v>
      </c>
      <c r="D16" s="11">
        <f>IFERROR(__xludf.DUMMYFUNCTION("""COMPUTED_VALUE"""),20000.0)</f>
        <v>20000</v>
      </c>
      <c r="E16" s="4" t="str">
        <f>IFERROR(__xludf.DUMMYFUNCTION("""COMPUTED_VALUE"""),"Statin")</f>
        <v>Statin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0" t="str">
        <f>IFERROR(__xludf.DUMMYFUNCTION("""COMPUTED_VALUE"""),"Basil, sweet (Ocimum basilicum)")</f>
        <v>Basil, sweet (Ocimum basilicum)</v>
      </c>
      <c r="B17" s="9" t="str">
        <f>IFERROR(__xludf.DUMMYFUNCTION("""COMPUTED_VALUE"""),"Stat Increase (+5 to one perk until end of battle or for 1 rp action.)")</f>
        <v>Stat Increase (+5 to one perk until end of battle or for 1 rp action.)</v>
      </c>
      <c r="C17" s="9" t="str">
        <f>IFERROR(__xludf.DUMMYFUNCTION("""COMPUTED_VALUE"""),"Common")</f>
        <v>Common</v>
      </c>
      <c r="D17" s="11">
        <f>IFERROR(__xludf.DUMMYFUNCTION("""COMPUTED_VALUE"""),20000.0)</f>
        <v>20000</v>
      </c>
      <c r="E17" s="4" t="str">
        <f>IFERROR(__xludf.DUMMYFUNCTION("""COMPUTED_VALUE"""),"Statin")</f>
        <v>Statin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0" t="str">
        <f>IFERROR(__xludf.DUMMYFUNCTION("""COMPUTED_VALUE"""),"Basil, Holy (Ocimum tenuiflorum)")</f>
        <v>Basil, Holy (Ocimum tenuiflorum)</v>
      </c>
      <c r="B18" s="9" t="str">
        <f>IFERROR(__xludf.DUMMYFUNCTION("""COMPUTED_VALUE"""),"Turn Order (-1)")</f>
        <v>Turn Order (-1)</v>
      </c>
      <c r="C18" s="9" t="str">
        <f>IFERROR(__xludf.DUMMYFUNCTION("""COMPUTED_VALUE"""),"Common")</f>
        <v>Common</v>
      </c>
      <c r="D18" s="11">
        <f>IFERROR(__xludf.DUMMYFUNCTION("""COMPUTED_VALUE"""),20000.0)</f>
        <v>20000</v>
      </c>
      <c r="E18" s="4" t="str">
        <f>IFERROR(__xludf.DUMMYFUNCTION("""COMPUTED_VALUE"""),"TurnOrder")</f>
        <v>TurnOrder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0" t="str">
        <f>IFERROR(__xludf.DUMMYFUNCTION("""COMPUTED_VALUE"""),"Basil, lemon (Ocimum × citriodorum)")</f>
        <v>Basil, lemon (Ocimum × citriodorum)</v>
      </c>
      <c r="B19" s="9" t="str">
        <f>IFERROR(__xludf.DUMMYFUNCTION("""COMPUTED_VALUE"""),"Stat Increase (+5 to one perk until end of battle or for 1 rp action.)")</f>
        <v>Stat Increase (+5 to one perk until end of battle or for 1 rp action.)</v>
      </c>
      <c r="C19" s="9" t="str">
        <f>IFERROR(__xludf.DUMMYFUNCTION("""COMPUTED_VALUE"""),"Uncommon")</f>
        <v>Uncommon</v>
      </c>
      <c r="D19" s="11">
        <f>IFERROR(__xludf.DUMMYFUNCTION("""COMPUTED_VALUE"""),20000.0)</f>
        <v>20000</v>
      </c>
      <c r="E19" s="4" t="str">
        <f>IFERROR(__xludf.DUMMYFUNCTION("""COMPUTED_VALUE"""),"Statin")</f>
        <v>Statin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0" t="str">
        <f>IFERROR(__xludf.DUMMYFUNCTION("""COMPUTED_VALUE"""),"Basil, Thai (O. basilicum var. thyrsiflora)")</f>
        <v>Basil, Thai (O. basilicum var. thyrsiflora)</v>
      </c>
      <c r="B20" s="9" t="str">
        <f>IFERROR(__xludf.DUMMYFUNCTION("""COMPUTED_VALUE"""),"Level Gain (+2 levels)")</f>
        <v>Level Gain (+2 levels)</v>
      </c>
      <c r="C20" s="9" t="str">
        <f>IFERROR(__xludf.DUMMYFUNCTION("""COMPUTED_VALUE"""),"Common")</f>
        <v>Common</v>
      </c>
      <c r="D20" s="11">
        <f>IFERROR(__xludf.DUMMYFUNCTION("""COMPUTED_VALUE"""),20000.0)</f>
        <v>20000</v>
      </c>
      <c r="E20" s="4" t="str">
        <f>IFERROR(__xludf.DUMMYFUNCTION("""COMPUTED_VALUE"""),"Level")</f>
        <v>Level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0" t="str">
        <f>IFERROR(__xludf.DUMMYFUNCTION("""COMPUTED_VALUE"""),"Bay leaf (Laurus nobilis)")</f>
        <v>Bay leaf (Laurus nobilis)</v>
      </c>
      <c r="B21" s="9" t="str">
        <f>IFERROR(__xludf.DUMMYFUNCTION("""COMPUTED_VALUE"""),"Level Gain (+2 levels)")</f>
        <v>Level Gain (+2 levels)</v>
      </c>
      <c r="C21" s="9" t="str">
        <f>IFERROR(__xludf.DUMMYFUNCTION("""COMPUTED_VALUE"""),"Mythic")</f>
        <v>Mythic</v>
      </c>
      <c r="D21" s="11">
        <f>IFERROR(__xludf.DUMMYFUNCTION("""COMPUTED_VALUE"""),20000.0)</f>
        <v>20000</v>
      </c>
      <c r="E21" s="4" t="str">
        <f>IFERROR(__xludf.DUMMYFUNCTION("""COMPUTED_VALUE"""),"Level")</f>
        <v>Level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0" t="str">
        <f>IFERROR(__xludf.DUMMYFUNCTION("""COMPUTED_VALUE"""),"Indian Bay leaf, tejpat, malabathrum (Cinnamomum tamala)")</f>
        <v>Indian Bay leaf, tejpat, malabathrum (Cinnamomum tamala)</v>
      </c>
      <c r="B22" s="9" t="str">
        <f>IFERROR(__xludf.DUMMYFUNCTION("""COMPUTED_VALUE"""),"Stat Increase (+5 to one perk until end of battle or for 1 rp action.)")</f>
        <v>Stat Increase (+5 to one perk until end of battle or for 1 rp action.)</v>
      </c>
      <c r="C22" s="9" t="str">
        <f>IFERROR(__xludf.DUMMYFUNCTION("""COMPUTED_VALUE"""),"Mythic")</f>
        <v>Mythic</v>
      </c>
      <c r="D22" s="11">
        <f>IFERROR(__xludf.DUMMYFUNCTION("""COMPUTED_VALUE"""),20000.0)</f>
        <v>20000</v>
      </c>
      <c r="E22" s="4" t="str">
        <f>IFERROR(__xludf.DUMMYFUNCTION("""COMPUTED_VALUE"""),"StatIn")</f>
        <v>StatIn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0" t="str">
        <f>IFERROR(__xludf.DUMMYFUNCTION("""COMPUTED_VALUE"""),"Boldo (Peumus boldus)")</f>
        <v>Boldo (Peumus boldus)</v>
      </c>
      <c r="B23" s="9" t="str">
        <f>IFERROR(__xludf.DUMMYFUNCTION("""COMPUTED_VALUE"""),"Stat Increase (+5 to one perk until end of battle or for 1 rp action.)")</f>
        <v>Stat Increase (+5 to one perk until end of battle or for 1 rp action.)</v>
      </c>
      <c r="C23" s="9" t="str">
        <f>IFERROR(__xludf.DUMMYFUNCTION("""COMPUTED_VALUE"""),"Legendary")</f>
        <v>Legendary</v>
      </c>
      <c r="D23" s="11">
        <f>IFERROR(__xludf.DUMMYFUNCTION("""COMPUTED_VALUE"""),20000.0)</f>
        <v>20000</v>
      </c>
      <c r="E23" s="4" t="str">
        <f>IFERROR(__xludf.DUMMYFUNCTION("""COMPUTED_VALUE"""),"Statin")</f>
        <v>Statin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0" t="str">
        <f>IFERROR(__xludf.DUMMYFUNCTION("""COMPUTED_VALUE"""),"Borage (Borago officinalis)")</f>
        <v>Borage (Borago officinalis)</v>
      </c>
      <c r="B24" s="9" t="str">
        <f>IFERROR(__xludf.DUMMYFUNCTION("""COMPUTED_VALUE"""),"Banishment")</f>
        <v>Banishment</v>
      </c>
      <c r="C24" s="9" t="str">
        <f>IFERROR(__xludf.DUMMYFUNCTION("""COMPUTED_VALUE"""),"Rare")</f>
        <v>Rare</v>
      </c>
      <c r="D24" s="11">
        <f>IFERROR(__xludf.DUMMYFUNCTION("""COMPUTED_VALUE"""),20000.0)</f>
        <v>20000</v>
      </c>
      <c r="E24" s="4" t="str">
        <f>IFERROR(__xludf.DUMMYFUNCTION("""COMPUTED_VALUE"""),"Banishment")</f>
        <v>Banishment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0" t="str">
        <f>IFERROR(__xludf.DUMMYFUNCTION("""COMPUTED_VALUE"""),"Blue fenugreek, blue melilot (Trigonella caerulea)")</f>
        <v>Blue fenugreek, blue melilot (Trigonella caerulea)</v>
      </c>
      <c r="B25" s="9" t="str">
        <f>IFERROR(__xludf.DUMMYFUNCTION("""COMPUTED_VALUE"""),"Disease Antidote")</f>
        <v>Disease Antidote</v>
      </c>
      <c r="C25" s="9" t="str">
        <f>IFERROR(__xludf.DUMMYFUNCTION("""COMPUTED_VALUE"""),"Rare")</f>
        <v>Rare</v>
      </c>
      <c r="D25" s="11">
        <f>IFERROR(__xludf.DUMMYFUNCTION("""COMPUTED_VALUE"""),20000.0)</f>
        <v>20000</v>
      </c>
      <c r="E25" s="4" t="str">
        <f>IFERROR(__xludf.DUMMYFUNCTION("""COMPUTED_VALUE"""),"Cure")</f>
        <v>Cure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0" t="str">
        <f>IFERROR(__xludf.DUMMYFUNCTION("""COMPUTED_VALUE"""),"California bay laurel (Umbellularia californica)")</f>
        <v>California bay laurel (Umbellularia californica)</v>
      </c>
      <c r="B26" s="9" t="str">
        <f>IFERROR(__xludf.DUMMYFUNCTION("""COMPUTED_VALUE"""),"Level Gain (+1 level)")</f>
        <v>Level Gain (+1 level)</v>
      </c>
      <c r="C26" s="9" t="str">
        <f>IFERROR(__xludf.DUMMYFUNCTION("""COMPUTED_VALUE"""),"Uncommon")</f>
        <v>Uncommon</v>
      </c>
      <c r="D26" s="11">
        <f>IFERROR(__xludf.DUMMYFUNCTION("""COMPUTED_VALUE"""),20000.0)</f>
        <v>20000</v>
      </c>
      <c r="E26" s="4" t="str">
        <f>IFERROR(__xludf.DUMMYFUNCTION("""COMPUTED_VALUE"""),"Level")</f>
        <v>Level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0" t="str">
        <f>IFERROR(__xludf.DUMMYFUNCTION("""COMPUTED_VALUE"""),"Caper (Capparis spinosa)")</f>
        <v>Caper (Capparis spinosa)</v>
      </c>
      <c r="B27" s="9" t="str">
        <f>IFERROR(__xludf.DUMMYFUNCTION("""COMPUTED_VALUE"""),"Stat Increase (+5 to one perk until end of battle or for 1 rp action.)")</f>
        <v>Stat Increase (+5 to one perk until end of battle or for 1 rp action.)</v>
      </c>
      <c r="C27" s="9" t="str">
        <f>IFERROR(__xludf.DUMMYFUNCTION("""COMPUTED_VALUE"""),"Common")</f>
        <v>Common</v>
      </c>
      <c r="D27" s="11">
        <f>IFERROR(__xludf.DUMMYFUNCTION("""COMPUTED_VALUE"""),20000.0)</f>
        <v>20000</v>
      </c>
      <c r="E27" s="4" t="str">
        <f>IFERROR(__xludf.DUMMYFUNCTION("""COMPUTED_VALUE"""),"StatIn")</f>
        <v>StatIn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0" t="str">
        <f>IFERROR(__xludf.DUMMYFUNCTION("""COMPUTED_VALUE"""),"Caraway (Carum carvi)")</f>
        <v>Caraway (Carum carvi)</v>
      </c>
      <c r="B28" s="9" t="str">
        <f>IFERROR(__xludf.DUMMYFUNCTION("""COMPUTED_VALUE"""),"Curse Antidote")</f>
        <v>Curse Antidote</v>
      </c>
      <c r="C28" s="9" t="str">
        <f>IFERROR(__xludf.DUMMYFUNCTION("""COMPUTED_VALUE"""),"Legendary")</f>
        <v>Legendary</v>
      </c>
      <c r="D28" s="11">
        <f>IFERROR(__xludf.DUMMYFUNCTION("""COMPUTED_VALUE"""),20000.0)</f>
        <v>20000</v>
      </c>
      <c r="E28" s="4" t="str">
        <f>IFERROR(__xludf.DUMMYFUNCTION("""COMPUTED_VALUE"""),"Cure")</f>
        <v>Cure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0" t="str">
        <f>IFERROR(__xludf.DUMMYFUNCTION("""COMPUTED_VALUE"""),"Cardamom (Elettaria cardamomum)")</f>
        <v>Cardamom (Elettaria cardamomum)</v>
      </c>
      <c r="B29" s="9" t="str">
        <f>IFERROR(__xludf.DUMMYFUNCTION("""COMPUTED_VALUE"""),"Stat Increase (+5 to one perk until end of battle or for 1 rp action.)")</f>
        <v>Stat Increase (+5 to one perk until end of battle or for 1 rp action.)</v>
      </c>
      <c r="C29" s="9" t="str">
        <f>IFERROR(__xludf.DUMMYFUNCTION("""COMPUTED_VALUE"""),"Uncommon")</f>
        <v>Uncommon</v>
      </c>
      <c r="D29" s="11">
        <f>IFERROR(__xludf.DUMMYFUNCTION("""COMPUTED_VALUE"""),20000.0)</f>
        <v>20000</v>
      </c>
      <c r="E29" s="4" t="str">
        <f>IFERROR(__xludf.DUMMYFUNCTION("""COMPUTED_VALUE"""),"Statin")</f>
        <v>Statin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0" t="str">
        <f>IFERROR(__xludf.DUMMYFUNCTION("""COMPUTED_VALUE"""),"Cardamom, black (Amomum subulatum, Amomum costatum)")</f>
        <v>Cardamom, black (Amomum subulatum, Amomum costatum)</v>
      </c>
      <c r="B30" s="9" t="str">
        <f>IFERROR(__xludf.DUMMYFUNCTION("""COMPUTED_VALUE"""),"Stat Increase (+5 to one perk until end of battle or for 1 rp action.)")</f>
        <v>Stat Increase (+5 to one perk until end of battle or for 1 rp action.)</v>
      </c>
      <c r="C30" s="9" t="str">
        <f>IFERROR(__xludf.DUMMYFUNCTION("""COMPUTED_VALUE"""),"Mythic")</f>
        <v>Mythic</v>
      </c>
      <c r="D30" s="11">
        <f>IFERROR(__xludf.DUMMYFUNCTION("""COMPUTED_VALUE"""),20000.0)</f>
        <v>20000</v>
      </c>
      <c r="E30" s="4" t="str">
        <f>IFERROR(__xludf.DUMMYFUNCTION("""COMPUTED_VALUE"""),"Statin")</f>
        <v>Statin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0" t="str">
        <f>IFERROR(__xludf.DUMMYFUNCTION("""COMPUTED_VALUE"""),"Cassia (Cinnamomum aromaticum)")</f>
        <v>Cassia (Cinnamomum aromaticum)</v>
      </c>
      <c r="B31" s="9" t="str">
        <f>IFERROR(__xludf.DUMMYFUNCTION("""COMPUTED_VALUE"""),"Banishment")</f>
        <v>Banishment</v>
      </c>
      <c r="C31" s="9" t="str">
        <f>IFERROR(__xludf.DUMMYFUNCTION("""COMPUTED_VALUE"""),"Ultra Rare")</f>
        <v>Ultra Rare</v>
      </c>
      <c r="D31" s="11">
        <f>IFERROR(__xludf.DUMMYFUNCTION("""COMPUTED_VALUE"""),20000.0)</f>
        <v>20000</v>
      </c>
      <c r="E31" s="4" t="str">
        <f>IFERROR(__xludf.DUMMYFUNCTION("""COMPUTED_VALUE"""),"Banishment")</f>
        <v>Banishment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0" t="str">
        <f>IFERROR(__xludf.DUMMYFUNCTION("""COMPUTED_VALUE"""),"Catnip (Nepeta cataria)")</f>
        <v>Catnip (Nepeta cataria)</v>
      </c>
      <c r="B32" s="9" t="str">
        <f>IFERROR(__xludf.DUMMYFUNCTION("""COMPUTED_VALUE"""),"Disease Antidote")</f>
        <v>Disease Antidote</v>
      </c>
      <c r="C32" s="9" t="str">
        <f>IFERROR(__xludf.DUMMYFUNCTION("""COMPUTED_VALUE"""),"Ultra Rare")</f>
        <v>Ultra Rare</v>
      </c>
      <c r="D32" s="11">
        <f>IFERROR(__xludf.DUMMYFUNCTION("""COMPUTED_VALUE"""),20000.0)</f>
        <v>20000</v>
      </c>
      <c r="E32" s="4" t="str">
        <f>IFERROR(__xludf.DUMMYFUNCTION("""COMPUTED_VALUE"""),"Cure")</f>
        <v>Cure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0" t="str">
        <f>IFERROR(__xludf.DUMMYFUNCTION("""COMPUTED_VALUE"""),"Cayenne pepper (Capsicum annuum)")</f>
        <v>Cayenne pepper (Capsicum annuum)</v>
      </c>
      <c r="B33" s="9" t="str">
        <f>IFERROR(__xludf.DUMMYFUNCTION("""COMPUTED_VALUE"""),"Stat Increase (+5 to one perk until end of battle or for 1 rp action.)")</f>
        <v>Stat Increase (+5 to one perk until end of battle or for 1 rp action.)</v>
      </c>
      <c r="C33" s="9" t="str">
        <f>IFERROR(__xludf.DUMMYFUNCTION("""COMPUTED_VALUE"""),"Uncommon")</f>
        <v>Uncommon</v>
      </c>
      <c r="D33" s="11">
        <f>IFERROR(__xludf.DUMMYFUNCTION("""COMPUTED_VALUE"""),20000.0)</f>
        <v>20000</v>
      </c>
      <c r="E33" s="4" t="str">
        <f>IFERROR(__xludf.DUMMYFUNCTION("""COMPUTED_VALUE"""),"Statin")</f>
        <v>Statin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0" t="str">
        <f>IFERROR(__xludf.DUMMYFUNCTION("""COMPUTED_VALUE"""),"Celery leaf (Apium graveolens)")</f>
        <v>Celery leaf (Apium graveolens)</v>
      </c>
      <c r="B34" s="9" t="str">
        <f>IFERROR(__xludf.DUMMYFUNCTION("""COMPUTED_VALUE"""),"Turn Order (+3)")</f>
        <v>Turn Order (+3)</v>
      </c>
      <c r="C34" s="9" t="str">
        <f>IFERROR(__xludf.DUMMYFUNCTION("""COMPUTED_VALUE"""),"Common")</f>
        <v>Common</v>
      </c>
      <c r="D34" s="11">
        <f>IFERROR(__xludf.DUMMYFUNCTION("""COMPUTED_VALUE"""),20000.0)</f>
        <v>20000</v>
      </c>
      <c r="E34" s="4" t="str">
        <f>IFERROR(__xludf.DUMMYFUNCTION("""COMPUTED_VALUE"""),"TurnOrder")</f>
        <v>TurnOrder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0" t="str">
        <f>IFERROR(__xludf.DUMMYFUNCTION("""COMPUTED_VALUE"""),"Celery seed (Apium graveolens)")</f>
        <v>Celery seed (Apium graveolens)</v>
      </c>
      <c r="B35" s="9" t="str">
        <f>IFERROR(__xludf.DUMMYFUNCTION("""COMPUTED_VALUE"""),"Turn Order (+4)")</f>
        <v>Turn Order (+4)</v>
      </c>
      <c r="C35" s="9" t="str">
        <f>IFERROR(__xludf.DUMMYFUNCTION("""COMPUTED_VALUE"""),"Uncommon")</f>
        <v>Uncommon</v>
      </c>
      <c r="D35" s="11">
        <f>IFERROR(__xludf.DUMMYFUNCTION("""COMPUTED_VALUE"""),20000.0)</f>
        <v>20000</v>
      </c>
      <c r="E35" s="4" t="str">
        <f>IFERROR(__xludf.DUMMYFUNCTION("""COMPUTED_VALUE"""),"TurnOrder")</f>
        <v>TurnOrder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0" t="str">
        <f>IFERROR(__xludf.DUMMYFUNCTION("""COMPUTED_VALUE"""),"Chervil (Anthriscus cerefolium)")</f>
        <v>Chervil (Anthriscus cerefolium)</v>
      </c>
      <c r="B36" s="9" t="str">
        <f>IFERROR(__xludf.DUMMYFUNCTION("""COMPUTED_VALUE"""),"Curse Antidote")</f>
        <v>Curse Antidote</v>
      </c>
      <c r="C36" s="9" t="str">
        <f>IFERROR(__xludf.DUMMYFUNCTION("""COMPUTED_VALUE"""),"Rare")</f>
        <v>Rare</v>
      </c>
      <c r="D36" s="11">
        <f>IFERROR(__xludf.DUMMYFUNCTION("""COMPUTED_VALUE"""),20000.0)</f>
        <v>20000</v>
      </c>
      <c r="E36" s="4" t="str">
        <f>IFERROR(__xludf.DUMMYFUNCTION("""COMPUTED_VALUE"""),"Cure")</f>
        <v>Cure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tr">
        <f>IFERROR(__xludf.DUMMYFUNCTION("""COMPUTED_VALUE"""),"Cichοrium spinosum")</f>
        <v>Cichοrium spinosum</v>
      </c>
      <c r="B37" s="9" t="str">
        <f>IFERROR(__xludf.DUMMYFUNCTION("""COMPUTED_VALUE"""),"Restore 100SP")</f>
        <v>Restore 100SP</v>
      </c>
      <c r="C37" s="9" t="str">
        <f>IFERROR(__xludf.DUMMYFUNCTION("""COMPUTED_VALUE"""),"Uncommon")</f>
        <v>Uncommon</v>
      </c>
      <c r="D37" s="11">
        <f>IFERROR(__xludf.DUMMYFUNCTION("""COMPUTED_VALUE"""),20000.0)</f>
        <v>20000</v>
      </c>
      <c r="E37" s="4" t="str">
        <f>IFERROR(__xludf.DUMMYFUNCTION("""COMPUTED_VALUE"""),"Restore")</f>
        <v>Restore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0" t="str">
        <f>IFERROR(__xludf.DUMMYFUNCTION("""COMPUTED_VALUE"""),"Chicory (Cichorium intybus)")</f>
        <v>Chicory (Cichorium intybus)</v>
      </c>
      <c r="B38" s="9" t="str">
        <f>IFERROR(__xludf.DUMMYFUNCTION("""COMPUTED_VALUE"""),"Stat Increase (+5 to one perk until end of battle or for 1 rp action.)")</f>
        <v>Stat Increase (+5 to one perk until end of battle or for 1 rp action.)</v>
      </c>
      <c r="C38" s="9" t="str">
        <f>IFERROR(__xludf.DUMMYFUNCTION("""COMPUTED_VALUE"""),"Mythic")</f>
        <v>Mythic</v>
      </c>
      <c r="D38" s="11">
        <f>IFERROR(__xludf.DUMMYFUNCTION("""COMPUTED_VALUE"""),20000.0)</f>
        <v>20000</v>
      </c>
      <c r="E38" s="4" t="str">
        <f>IFERROR(__xludf.DUMMYFUNCTION("""COMPUTED_VALUE"""),"Statin")</f>
        <v>Statin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0" t="str">
        <f>IFERROR(__xludf.DUMMYFUNCTION("""COMPUTED_VALUE"""),"Chili pepper (Capsm spp.)")</f>
        <v>Chili pepper (Capsm spp.)</v>
      </c>
      <c r="B39" s="9" t="str">
        <f>IFERROR(__xludf.DUMMYFUNCTION("""COMPUTED_VALUE"""),"Stat Increase (+5 to one perk until end of battle or for 1 rp action.)")</f>
        <v>Stat Increase (+5 to one perk until end of battle or for 1 rp action.)</v>
      </c>
      <c r="C39" s="9" t="str">
        <f>IFERROR(__xludf.DUMMYFUNCTION("""COMPUTED_VALUE"""),"Common")</f>
        <v>Common</v>
      </c>
      <c r="D39" s="11">
        <f>IFERROR(__xludf.DUMMYFUNCTION("""COMPUTED_VALUE"""),20000.0)</f>
        <v>20000</v>
      </c>
      <c r="E39" s="4" t="str">
        <f>IFERROR(__xludf.DUMMYFUNCTION("""COMPUTED_VALUE"""),"Statin")</f>
        <v>Statin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0" t="str">
        <f>IFERROR(__xludf.DUMMYFUNCTION("""COMPUTED_VALUE"""),"Chives (Allium schoenoprasum)")</f>
        <v>Chives (Allium schoenoprasum)</v>
      </c>
      <c r="B40" s="9" t="str">
        <f>IFERROR(__xludf.DUMMYFUNCTION("""COMPUTED_VALUE"""),"Stat Increase (+5 to one perk until end of battle or for 1 rp action.)")</f>
        <v>Stat Increase (+5 to one perk until end of battle or for 1 rp action.)</v>
      </c>
      <c r="C40" s="9" t="str">
        <f>IFERROR(__xludf.DUMMYFUNCTION("""COMPUTED_VALUE"""),"Common")</f>
        <v>Common</v>
      </c>
      <c r="D40" s="11">
        <f>IFERROR(__xludf.DUMMYFUNCTION("""COMPUTED_VALUE"""),20000.0)</f>
        <v>20000</v>
      </c>
      <c r="E40" s="4" t="str">
        <f>IFERROR(__xludf.DUMMYFUNCTION("""COMPUTED_VALUE"""),"StatIn")</f>
        <v>StatIn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0" t="str">
        <f>IFERROR(__xludf.DUMMYFUNCTION("""COMPUTED_VALUE"""),"Cicely, sweet cicely (Myrrhis odorata)")</f>
        <v>Cicely, sweet cicely (Myrrhis odorata)</v>
      </c>
      <c r="B41" s="9" t="str">
        <f>IFERROR(__xludf.DUMMYFUNCTION("""COMPUTED_VALUE"""),"Disease Antidote")</f>
        <v>Disease Antidote</v>
      </c>
      <c r="C41" s="9" t="str">
        <f>IFERROR(__xludf.DUMMYFUNCTION("""COMPUTED_VALUE"""),"Ultra Rare")</f>
        <v>Ultra Rare</v>
      </c>
      <c r="D41" s="11">
        <f>IFERROR(__xludf.DUMMYFUNCTION("""COMPUTED_VALUE"""),20000.0)</f>
        <v>20000</v>
      </c>
      <c r="E41" s="4" t="str">
        <f>IFERROR(__xludf.DUMMYFUNCTION("""COMPUTED_VALUE"""),"Cure")</f>
        <v>Cure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0" t="str">
        <f>IFERROR(__xludf.DUMMYFUNCTION("""COMPUTED_VALUE"""),"Cilantro, coriander greens, coriander herb (Coriandrum sativum)")</f>
        <v>Cilantro, coriander greens, coriander herb (Coriandrum sativum)</v>
      </c>
      <c r="B42" s="9" t="str">
        <f>IFERROR(__xludf.DUMMYFUNCTION("""COMPUTED_VALUE"""),"Stat Increase (+5 to one perk until end of battle or for 1 rp action.)")</f>
        <v>Stat Increase (+5 to one perk until end of battle or for 1 rp action.)</v>
      </c>
      <c r="C42" s="9" t="str">
        <f>IFERROR(__xludf.DUMMYFUNCTION("""COMPUTED_VALUE"""),"Uncommon")</f>
        <v>Uncommon</v>
      </c>
      <c r="D42" s="11">
        <f>IFERROR(__xludf.DUMMYFUNCTION("""COMPUTED_VALUE"""),20000.0)</f>
        <v>20000</v>
      </c>
      <c r="E42" s="4" t="str">
        <f>IFERROR(__xludf.DUMMYFUNCTION("""COMPUTED_VALUE"""),"Statin")</f>
        <v>Statin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0" t="str">
        <f>IFERROR(__xludf.DUMMYFUNCTION("""COMPUTED_VALUE"""),"Cinnamon, Indonesian (Cinnamomum burmannii, Cassia vera)")</f>
        <v>Cinnamon, Indonesian (Cinnamomum burmannii, Cassia vera)</v>
      </c>
      <c r="B43" s="9" t="str">
        <f>IFERROR(__xludf.DUMMYFUNCTION("""COMPUTED_VALUE"""),"Stat Increase (+5 to one perk until end of battle or for 1 rp action.)")</f>
        <v>Stat Increase (+5 to one perk until end of battle or for 1 rp action.)</v>
      </c>
      <c r="C43" s="9" t="str">
        <f>IFERROR(__xludf.DUMMYFUNCTION("""COMPUTED_VALUE"""),"Common")</f>
        <v>Common</v>
      </c>
      <c r="D43" s="11">
        <f>IFERROR(__xludf.DUMMYFUNCTION("""COMPUTED_VALUE"""),20000.0)</f>
        <v>20000</v>
      </c>
      <c r="E43" s="4" t="str">
        <f>IFERROR(__xludf.DUMMYFUNCTION("""COMPUTED_VALUE"""),"StatIn")</f>
        <v>StatIn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9" t="str">
        <f>IFERROR(__xludf.DUMMYFUNCTION("""COMPUTED_VALUE"""),"Cinnamon, Saigon or Vietnamese (Cinnamomum loureiroi)")</f>
        <v>Cinnamon, Saigon or Vietnamese (Cinnamomum loureiroi)</v>
      </c>
      <c r="B44" s="9" t="str">
        <f>IFERROR(__xludf.DUMMYFUNCTION("""COMPUTED_VALUE"""),"Stat Increase (+5 to one perk until end of battle or for 1 rp action.)")</f>
        <v>Stat Increase (+5 to one perk until end of battle or for 1 rp action.)</v>
      </c>
      <c r="C44" s="9" t="str">
        <f>IFERROR(__xludf.DUMMYFUNCTION("""COMPUTED_VALUE"""),"Common")</f>
        <v>Common</v>
      </c>
      <c r="D44" s="11">
        <f>IFERROR(__xludf.DUMMYFUNCTION("""COMPUTED_VALUE"""),20000.0)</f>
        <v>20000</v>
      </c>
      <c r="E44" s="4" t="str">
        <f>IFERROR(__xludf.DUMMYFUNCTION("""COMPUTED_VALUE"""),"StatIn")</f>
        <v>StatIn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0" t="str">
        <f>IFERROR(__xludf.DUMMYFUNCTION("""COMPUTED_VALUE"""),"Cinnamon, true or Ceylon (Cinnamomum verum, C. zeylanicum)")</f>
        <v>Cinnamon, true or Ceylon (Cinnamomum verum, C. zeylanicum)</v>
      </c>
      <c r="B45" s="9" t="str">
        <f>IFERROR(__xludf.DUMMYFUNCTION("""COMPUTED_VALUE"""),"Stat Increase (+5 to one perk until end of battle or for 1 rp action.)")</f>
        <v>Stat Increase (+5 to one perk until end of battle or for 1 rp action.)</v>
      </c>
      <c r="C45" s="9" t="str">
        <f>IFERROR(__xludf.DUMMYFUNCTION("""COMPUTED_VALUE"""),"Common")</f>
        <v>Common</v>
      </c>
      <c r="D45" s="11">
        <f>IFERROR(__xludf.DUMMYFUNCTION("""COMPUTED_VALUE"""),20000.0)</f>
        <v>20000</v>
      </c>
      <c r="E45" s="4" t="str">
        <f>IFERROR(__xludf.DUMMYFUNCTION("""COMPUTED_VALUE"""),"Statin")</f>
        <v>Statin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0" t="str">
        <f>IFERROR(__xludf.DUMMYFUNCTION("""COMPUTED_VALUE"""),"Cinnamon, white (Canella winterana)")</f>
        <v>Cinnamon, white (Canella winterana)</v>
      </c>
      <c r="B46" s="9" t="str">
        <f>IFERROR(__xludf.DUMMYFUNCTION("""COMPUTED_VALUE"""),"Stat Increase (+5 to one perk until end of battle or for 1 rp action.)")</f>
        <v>Stat Increase (+5 to one perk until end of battle or for 1 rp action.)</v>
      </c>
      <c r="C46" s="9" t="str">
        <f>IFERROR(__xludf.DUMMYFUNCTION("""COMPUTED_VALUE"""),"Common")</f>
        <v>Common</v>
      </c>
      <c r="D46" s="11">
        <f>IFERROR(__xludf.DUMMYFUNCTION("""COMPUTED_VALUE"""),20000.0)</f>
        <v>20000</v>
      </c>
      <c r="E46" s="4" t="str">
        <f>IFERROR(__xludf.DUMMYFUNCTION("""COMPUTED_VALUE"""),"Statin")</f>
        <v>Statin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 t="str">
        <f>IFERROR(__xludf.DUMMYFUNCTION("""COMPUTED_VALUE"""),"Cinnamon myrtle (Backhousia myrtifolia) (Australia)")</f>
        <v>Cinnamon myrtle (Backhousia myrtifolia) (Australia)</v>
      </c>
      <c r="B47" s="9" t="str">
        <f>IFERROR(__xludf.DUMMYFUNCTION("""COMPUTED_VALUE"""),"Turn Order (+1)")</f>
        <v>Turn Order (+1)</v>
      </c>
      <c r="C47" s="9" t="str">
        <f>IFERROR(__xludf.DUMMYFUNCTION("""COMPUTED_VALUE"""),"Common")</f>
        <v>Common</v>
      </c>
      <c r="D47" s="11">
        <f>IFERROR(__xludf.DUMMYFUNCTION("""COMPUTED_VALUE"""),20000.0)</f>
        <v>20000</v>
      </c>
      <c r="E47" s="4" t="str">
        <f>IFERROR(__xludf.DUMMYFUNCTION("""COMPUTED_VALUE"""),"TurnOrder")</f>
        <v>TurnOrder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0" t="str">
        <f>IFERROR(__xludf.DUMMYFUNCTION("""COMPUTED_VALUE"""),"Clary, Clary sage (Salvia sclarea)")</f>
        <v>Clary, Clary sage (Salvia sclarea)</v>
      </c>
      <c r="B48" s="9" t="str">
        <f>IFERROR(__xludf.DUMMYFUNCTION("""COMPUTED_VALUE"""),"Instant Death")</f>
        <v>Instant Death</v>
      </c>
      <c r="C48" s="9" t="str">
        <f>IFERROR(__xludf.DUMMYFUNCTION("""COMPUTED_VALUE"""),"Rare")</f>
        <v>Rare</v>
      </c>
      <c r="D48" s="11">
        <f>IFERROR(__xludf.DUMMYFUNCTION("""COMPUTED_VALUE"""),20000.0)</f>
        <v>20000</v>
      </c>
      <c r="E48" s="4" t="str">
        <f>IFERROR(__xludf.DUMMYFUNCTION("""COMPUTED_VALUE"""),"InstaDeath")</f>
        <v>InstaDeath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0" t="str">
        <f>IFERROR(__xludf.DUMMYFUNCTION("""COMPUTED_VALUE"""),"Clove (Syzygium aromaticum)")</f>
        <v>Clove (Syzygium aromaticum)</v>
      </c>
      <c r="B49" s="9" t="str">
        <f>IFERROR(__xludf.DUMMYFUNCTION("""COMPUTED_VALUE"""),"Curse Antidote")</f>
        <v>Curse Antidote</v>
      </c>
      <c r="C49" s="9" t="str">
        <f>IFERROR(__xludf.DUMMYFUNCTION("""COMPUTED_VALUE"""),"Ultra Rare")</f>
        <v>Ultra Rare</v>
      </c>
      <c r="D49" s="11">
        <f>IFERROR(__xludf.DUMMYFUNCTION("""COMPUTED_VALUE"""),20000.0)</f>
        <v>20000</v>
      </c>
      <c r="E49" s="4" t="str">
        <f>IFERROR(__xludf.DUMMYFUNCTION("""COMPUTED_VALUE"""),"Cure")</f>
        <v>Cure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0" t="str">
        <f>IFERROR(__xludf.DUMMYFUNCTION("""COMPUTED_VALUE"""),"Coriander seed (Coriandrum sativum)")</f>
        <v>Coriander seed (Coriandrum sativum)</v>
      </c>
      <c r="B50" s="9" t="str">
        <f>IFERROR(__xludf.DUMMYFUNCTION("""COMPUTED_VALUE"""),"Restore 100HP")</f>
        <v>Restore 100HP</v>
      </c>
      <c r="C50" s="9" t="str">
        <f>IFERROR(__xludf.DUMMYFUNCTION("""COMPUTED_VALUE"""),"Legendary")</f>
        <v>Legendary</v>
      </c>
      <c r="D50" s="11">
        <f>IFERROR(__xludf.DUMMYFUNCTION("""COMPUTED_VALUE"""),20000.0)</f>
        <v>20000</v>
      </c>
      <c r="E50" s="4" t="str">
        <f>IFERROR(__xludf.DUMMYFUNCTION("""COMPUTED_VALUE"""),"Restore")</f>
        <v>Restore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0" t="str">
        <f>IFERROR(__xludf.DUMMYFUNCTION("""COMPUTED_VALUE"""),"Coriander, Vietnamese (Persicaria odorata)")</f>
        <v>Coriander, Vietnamese (Persicaria odorata)</v>
      </c>
      <c r="B51" s="9" t="str">
        <f>IFERROR(__xludf.DUMMYFUNCTION("""COMPUTED_VALUE"""),"Turn Order (Everyone Rerolls)")</f>
        <v>Turn Order (Everyone Rerolls)</v>
      </c>
      <c r="C51" s="9" t="str">
        <f>IFERROR(__xludf.DUMMYFUNCTION("""COMPUTED_VALUE"""),"Mythic")</f>
        <v>Mythic</v>
      </c>
      <c r="D51" s="11">
        <f>IFERROR(__xludf.DUMMYFUNCTION("""COMPUTED_VALUE"""),20000.0)</f>
        <v>20000</v>
      </c>
      <c r="E51" s="4" t="str">
        <f>IFERROR(__xludf.DUMMYFUNCTION("""COMPUTED_VALUE"""),"TurnOrder")</f>
        <v>TurnOrder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0" t="str">
        <f>IFERROR(__xludf.DUMMYFUNCTION("""COMPUTED_VALUE"""),"Costmary (Tanacetum balsamita)")</f>
        <v>Costmary (Tanacetum balsamita)</v>
      </c>
      <c r="B52" s="9" t="str">
        <f>IFERROR(__xludf.DUMMYFUNCTION("""COMPUTED_VALUE"""),"Level Gain (+2 levels)")</f>
        <v>Level Gain (+2 levels)</v>
      </c>
      <c r="C52" s="9" t="str">
        <f>IFERROR(__xludf.DUMMYFUNCTION("""COMPUTED_VALUE"""),"Mythic")</f>
        <v>Mythic</v>
      </c>
      <c r="D52" s="11">
        <f>IFERROR(__xludf.DUMMYFUNCTION("""COMPUTED_VALUE"""),20000.0)</f>
        <v>20000</v>
      </c>
      <c r="E52" s="4" t="str">
        <f>IFERROR(__xludf.DUMMYFUNCTION("""COMPUTED_VALUE"""),"Level")</f>
        <v>Level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0" t="str">
        <f>IFERROR(__xludf.DUMMYFUNCTION("""COMPUTED_VALUE"""),"Cubeb pepper (Piper cubeba)")</f>
        <v>Cubeb pepper (Piper cubeba)</v>
      </c>
      <c r="B53" s="9" t="str">
        <f>IFERROR(__xludf.DUMMYFUNCTION("""COMPUTED_VALUE"""),"Stat Increase (+5 to one perk until end of battle or for 1 rp action.)")</f>
        <v>Stat Increase (+5 to one perk until end of battle or for 1 rp action.)</v>
      </c>
      <c r="C53" s="9" t="str">
        <f>IFERROR(__xludf.DUMMYFUNCTION("""COMPUTED_VALUE"""),"Uncommon")</f>
        <v>Uncommon</v>
      </c>
      <c r="D53" s="11">
        <f>IFERROR(__xludf.DUMMYFUNCTION("""COMPUTED_VALUE"""),20000.0)</f>
        <v>20000</v>
      </c>
      <c r="E53" s="4" t="str">
        <f>IFERROR(__xludf.DUMMYFUNCTION("""COMPUTED_VALUE"""),"Statin")</f>
        <v>Statin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9" t="str">
        <f>IFERROR(__xludf.DUMMYFUNCTION("""COMPUTED_VALUE"""),"Cudweed (Gnaphalium spp.) (Vietnam)")</f>
        <v>Cudweed (Gnaphalium spp.) (Vietnam)</v>
      </c>
      <c r="B54" s="9" t="str">
        <f>IFERROR(__xludf.DUMMYFUNCTION("""COMPUTED_VALUE"""),"Stat Increase (+5 to one perk until end of battle or for 1 rp action.)")</f>
        <v>Stat Increase (+5 to one perk until end of battle or for 1 rp action.)</v>
      </c>
      <c r="C54" s="9" t="str">
        <f>IFERROR(__xludf.DUMMYFUNCTION("""COMPUTED_VALUE"""),"Legendary")</f>
        <v>Legendary</v>
      </c>
      <c r="D54" s="11">
        <f>IFERROR(__xludf.DUMMYFUNCTION("""COMPUTED_VALUE"""),20000.0)</f>
        <v>20000</v>
      </c>
      <c r="E54" s="4" t="str">
        <f>IFERROR(__xludf.DUMMYFUNCTION("""COMPUTED_VALUE"""),"Statin")</f>
        <v>Statin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0" t="str">
        <f>IFERROR(__xludf.DUMMYFUNCTION("""COMPUTED_VALUE"""),"Culantro, culangot, long coriander (Eryngium foetidum)")</f>
        <v>Culantro, culangot, long coriander (Eryngium foetidum)</v>
      </c>
      <c r="B55" s="9" t="str">
        <f>IFERROR(__xludf.DUMMYFUNCTION("""COMPUTED_VALUE"""),"Stat Increase (+5 to one perk until end of battle or for 1 rp action.)")</f>
        <v>Stat Increase (+5 to one perk until end of battle or for 1 rp action.)</v>
      </c>
      <c r="C55" s="9" t="str">
        <f>IFERROR(__xludf.DUMMYFUNCTION("""COMPUTED_VALUE"""),"Uncommon")</f>
        <v>Uncommon</v>
      </c>
      <c r="D55" s="11">
        <f>IFERROR(__xludf.DUMMYFUNCTION("""COMPUTED_VALUE"""),20000.0)</f>
        <v>20000</v>
      </c>
      <c r="E55" s="4" t="str">
        <f>IFERROR(__xludf.DUMMYFUNCTION("""COMPUTED_VALUE"""),"Statin")</f>
        <v>Statin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0" t="str">
        <f>IFERROR(__xludf.DUMMYFUNCTION("""COMPUTED_VALUE"""),"Cumin (Cuminum cyminum)")</f>
        <v>Cumin (Cuminum cyminum)</v>
      </c>
      <c r="B56" s="9" t="str">
        <f>IFERROR(__xludf.DUMMYFUNCTION("""COMPUTED_VALUE"""),"Turn Order (+1)")</f>
        <v>Turn Order (+1)</v>
      </c>
      <c r="C56" s="9" t="str">
        <f>IFERROR(__xludf.DUMMYFUNCTION("""COMPUTED_VALUE"""),"Uncommon")</f>
        <v>Uncommon</v>
      </c>
      <c r="D56" s="11">
        <f>IFERROR(__xludf.DUMMYFUNCTION("""COMPUTED_VALUE"""),20000.0)</f>
        <v>20000</v>
      </c>
      <c r="E56" s="4" t="str">
        <f>IFERROR(__xludf.DUMMYFUNCTION("""COMPUTED_VALUE"""),"TurnOrder")</f>
        <v>TurnOrder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0" t="str">
        <f>IFERROR(__xludf.DUMMYFUNCTION("""COMPUTED_VALUE"""),"Curry leaf (Murraya koenigii)")</f>
        <v>Curry leaf (Murraya koenigii)</v>
      </c>
      <c r="B57" s="9" t="str">
        <f>IFERROR(__xludf.DUMMYFUNCTION("""COMPUTED_VALUE"""),"Level Gain (+2 levels)")</f>
        <v>Level Gain (+2 levels)</v>
      </c>
      <c r="C57" s="9" t="str">
        <f>IFERROR(__xludf.DUMMYFUNCTION("""COMPUTED_VALUE"""),"Common")</f>
        <v>Common</v>
      </c>
      <c r="D57" s="11">
        <f>IFERROR(__xludf.DUMMYFUNCTION("""COMPUTED_VALUE"""),20000.0)</f>
        <v>20000</v>
      </c>
      <c r="E57" s="4" t="str">
        <f>IFERROR(__xludf.DUMMYFUNCTION("""COMPUTED_VALUE"""),"Level")</f>
        <v>Level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0" t="str">
        <f>IFERROR(__xludf.DUMMYFUNCTION("""COMPUTED_VALUE"""),"Curry plant (Helichrysum italicum)")</f>
        <v>Curry plant (Helichrysum italicum)</v>
      </c>
      <c r="B58" s="9" t="str">
        <f>IFERROR(__xludf.DUMMYFUNCTION("""COMPUTED_VALUE"""),"Disease Antidote")</f>
        <v>Disease Antidote</v>
      </c>
      <c r="C58" s="9" t="str">
        <f>IFERROR(__xludf.DUMMYFUNCTION("""COMPUTED_VALUE"""),"Rare")</f>
        <v>Rare</v>
      </c>
      <c r="D58" s="11">
        <f>IFERROR(__xludf.DUMMYFUNCTION("""COMPUTED_VALUE"""),20000.0)</f>
        <v>20000</v>
      </c>
      <c r="E58" s="4" t="str">
        <f>IFERROR(__xludf.DUMMYFUNCTION("""COMPUTED_VALUE"""),"Cure")</f>
        <v>Cure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0" t="str">
        <f>IFERROR(__xludf.DUMMYFUNCTION("""COMPUTED_VALUE"""),"Dill herb or weed (Anethum graveolens)")</f>
        <v>Dill herb or weed (Anethum graveolens)</v>
      </c>
      <c r="B59" s="9" t="str">
        <f>IFERROR(__xludf.DUMMYFUNCTION("""COMPUTED_VALUE"""),"Level Gain (+2 levels)")</f>
        <v>Level Gain (+2 levels)</v>
      </c>
      <c r="C59" s="9" t="str">
        <f>IFERROR(__xludf.DUMMYFUNCTION("""COMPUTED_VALUE"""),"Common")</f>
        <v>Common</v>
      </c>
      <c r="D59" s="11">
        <f>IFERROR(__xludf.DUMMYFUNCTION("""COMPUTED_VALUE"""),20000.0)</f>
        <v>20000</v>
      </c>
      <c r="E59" s="4" t="str">
        <f>IFERROR(__xludf.DUMMYFUNCTION("""COMPUTED_VALUE"""),"Level")</f>
        <v>Level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0" t="str">
        <f>IFERROR(__xludf.DUMMYFUNCTION("""COMPUTED_VALUE"""),"Dill seed (Anethum graveolens)")</f>
        <v>Dill seed (Anethum graveolens)</v>
      </c>
      <c r="B60" s="9" t="str">
        <f>IFERROR(__xludf.DUMMYFUNCTION("""COMPUTED_VALUE"""),"Stat Increase (+5 to one perk until end of battle or for 1 rp action.)")</f>
        <v>Stat Increase (+5 to one perk until end of battle or for 1 rp action.)</v>
      </c>
      <c r="C60" s="9" t="str">
        <f>IFERROR(__xludf.DUMMYFUNCTION("""COMPUTED_VALUE"""),"Uncommon")</f>
        <v>Uncommon</v>
      </c>
      <c r="D60" s="11">
        <f>IFERROR(__xludf.DUMMYFUNCTION("""COMPUTED_VALUE"""),20000.0)</f>
        <v>20000</v>
      </c>
      <c r="E60" s="4" t="str">
        <f>IFERROR(__xludf.DUMMYFUNCTION("""COMPUTED_VALUE"""),"Statin")</f>
        <v>Statin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0" t="str">
        <f>IFERROR(__xludf.DUMMYFUNCTION("""COMPUTED_VALUE"""),"Elderflower (Sambucus spp.)")</f>
        <v>Elderflower (Sambucus spp.)</v>
      </c>
      <c r="B61" s="9" t="str">
        <f>IFERROR(__xludf.DUMMYFUNCTION("""COMPUTED_VALUE"""),"Curse Antidote")</f>
        <v>Curse Antidote</v>
      </c>
      <c r="C61" s="9" t="str">
        <f>IFERROR(__xludf.DUMMYFUNCTION("""COMPUTED_VALUE"""),"Rare")</f>
        <v>Rare</v>
      </c>
      <c r="D61" s="11">
        <f>IFERROR(__xludf.DUMMYFUNCTION("""COMPUTED_VALUE"""),20000.0)</f>
        <v>20000</v>
      </c>
      <c r="E61" s="4" t="str">
        <f>IFERROR(__xludf.DUMMYFUNCTION("""COMPUTED_VALUE"""),"Cure")</f>
        <v>Cure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0" t="str">
        <f>IFERROR(__xludf.DUMMYFUNCTION("""COMPUTED_VALUE"""),"Epazote (Dysphania ambrosioides)")</f>
        <v>Epazote (Dysphania ambrosioides)</v>
      </c>
      <c r="B62" s="9" t="str">
        <f>IFERROR(__xludf.DUMMYFUNCTION("""COMPUTED_VALUE"""),"Level Gain (+2 levels)")</f>
        <v>Level Gain (+2 levels)</v>
      </c>
      <c r="C62" s="9" t="str">
        <f>IFERROR(__xludf.DUMMYFUNCTION("""COMPUTED_VALUE"""),"Legendary")</f>
        <v>Legendary</v>
      </c>
      <c r="D62" s="11">
        <f>IFERROR(__xludf.DUMMYFUNCTION("""COMPUTED_VALUE"""),20000.0)</f>
        <v>20000</v>
      </c>
      <c r="E62" s="4" t="str">
        <f>IFERROR(__xludf.DUMMYFUNCTION("""COMPUTED_VALUE"""),"Level")</f>
        <v>Level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0" t="str">
        <f>IFERROR(__xludf.DUMMYFUNCTION("""COMPUTED_VALUE"""),"Fennel (Foeniculum vulgare)")</f>
        <v>Fennel (Foeniculum vulgare)</v>
      </c>
      <c r="B63" s="9" t="str">
        <f>IFERROR(__xludf.DUMMYFUNCTION("""COMPUTED_VALUE"""),"Level Gain (+2 levels)")</f>
        <v>Level Gain (+2 levels)</v>
      </c>
      <c r="C63" s="9" t="str">
        <f>IFERROR(__xludf.DUMMYFUNCTION("""COMPUTED_VALUE"""),"Common")</f>
        <v>Common</v>
      </c>
      <c r="D63" s="11">
        <f>IFERROR(__xludf.DUMMYFUNCTION("""COMPUTED_VALUE"""),20000.0)</f>
        <v>20000</v>
      </c>
      <c r="E63" s="4" t="str">
        <f>IFERROR(__xludf.DUMMYFUNCTION("""COMPUTED_VALUE"""),"Level")</f>
        <v>Level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0" t="str">
        <f>IFERROR(__xludf.DUMMYFUNCTION("""COMPUTED_VALUE"""),"Fenugreek (Trigonella foenum-graecum)")</f>
        <v>Fenugreek (Trigonella foenum-graecum)</v>
      </c>
      <c r="B64" s="9" t="str">
        <f>IFERROR(__xludf.DUMMYFUNCTION("""COMPUTED_VALUE"""),"Stat Increase (+5 to one perk until end of battle or for 1 rp action.)")</f>
        <v>Stat Increase (+5 to one perk until end of battle or for 1 rp action.)</v>
      </c>
      <c r="C64" s="9" t="str">
        <f>IFERROR(__xludf.DUMMYFUNCTION("""COMPUTED_VALUE"""),"Uncommon")</f>
        <v>Uncommon</v>
      </c>
      <c r="D64" s="11">
        <f>IFERROR(__xludf.DUMMYFUNCTION("""COMPUTED_VALUE"""),20000.0)</f>
        <v>20000</v>
      </c>
      <c r="E64" s="4" t="str">
        <f>IFERROR(__xludf.DUMMYFUNCTION("""COMPUTED_VALUE"""),"StatIn")</f>
        <v>StatIn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0" t="str">
        <f>IFERROR(__xludf.DUMMYFUNCTION("""COMPUTED_VALUE"""),"Filé powder, gumbo filé (Sassafras albidum)")</f>
        <v>Filé powder, gumbo filé (Sassafras albidum)</v>
      </c>
      <c r="B65" s="9" t="str">
        <f>IFERROR(__xludf.DUMMYFUNCTION("""COMPUTED_VALUE"""),"Hunger loss (Lose 2 hunger)")</f>
        <v>Hunger loss (Lose 2 hunger)</v>
      </c>
      <c r="C65" s="9" t="str">
        <f>IFERROR(__xludf.DUMMYFUNCTION("""COMPUTED_VALUE"""),"Mythic")</f>
        <v>Mythic</v>
      </c>
      <c r="D65" s="11">
        <f>IFERROR(__xludf.DUMMYFUNCTION("""COMPUTED_VALUE"""),20000.0)</f>
        <v>20000</v>
      </c>
      <c r="E65" s="4" t="str">
        <f>IFERROR(__xludf.DUMMYFUNCTION("""COMPUTED_VALUE"""),"Hunger")</f>
        <v>Hunger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0" t="str">
        <f>IFERROR(__xludf.DUMMYFUNCTION("""COMPUTED_VALUE"""),"Fingerroot, krachai, temu kuntji (Boesenbergia rotunda)")</f>
        <v>Fingerroot, krachai, temu kuntji (Boesenbergia rotunda)</v>
      </c>
      <c r="B66" s="9" t="str">
        <f>IFERROR(__xludf.DUMMYFUNCTION("""COMPUTED_VALUE"""),"Stat Increase (+5 to one perk until end of battle or for 1 rp action.)")</f>
        <v>Stat Increase (+5 to one perk until end of battle or for 1 rp action.)</v>
      </c>
      <c r="C66" s="9" t="str">
        <f>IFERROR(__xludf.DUMMYFUNCTION("""COMPUTED_VALUE"""),"Uncommon")</f>
        <v>Uncommon</v>
      </c>
      <c r="D66" s="11">
        <f>IFERROR(__xludf.DUMMYFUNCTION("""COMPUTED_VALUE"""),20000.0)</f>
        <v>20000</v>
      </c>
      <c r="E66" s="4" t="str">
        <f>IFERROR(__xludf.DUMMYFUNCTION("""COMPUTED_VALUE"""),"Statin")</f>
        <v>Statin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 t="str">
        <f>IFERROR(__xludf.DUMMYFUNCTION("""COMPUTED_VALUE"""),"Galangal, greater (Alpinia galanga)")</f>
        <v>Galangal, greater (Alpinia galanga)</v>
      </c>
      <c r="B67" s="9" t="str">
        <f>IFERROR(__xludf.DUMMYFUNCTION("""COMPUTED_VALUE"""),"Stat Increase (+5 to one perk until end of battle or for 1 rp action.)")</f>
        <v>Stat Increase (+5 to one perk until end of battle or for 1 rp action.)</v>
      </c>
      <c r="C67" s="9" t="str">
        <f>IFERROR(__xludf.DUMMYFUNCTION("""COMPUTED_VALUE"""),"Legendary")</f>
        <v>Legendary</v>
      </c>
      <c r="D67" s="11">
        <f>IFERROR(__xludf.DUMMYFUNCTION("""COMPUTED_VALUE"""),20000.0)</f>
        <v>20000</v>
      </c>
      <c r="E67" s="4" t="str">
        <f>IFERROR(__xludf.DUMMYFUNCTION("""COMPUTED_VALUE"""),"Statin")</f>
        <v>Statin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0" t="str">
        <f>IFERROR(__xludf.DUMMYFUNCTION("""COMPUTED_VALUE"""),"Galangal, lesser (Alpinia officinarum)")</f>
        <v>Galangal, lesser (Alpinia officinarum)</v>
      </c>
      <c r="B68" s="9" t="str">
        <f>IFERROR(__xludf.DUMMYFUNCTION("""COMPUTED_VALUE"""),"Stat Increase (+5 to one perk until end of battle or for 1 rp action.)")</f>
        <v>Stat Increase (+5 to one perk until end of battle or for 1 rp action.)</v>
      </c>
      <c r="C68" s="9" t="str">
        <f>IFERROR(__xludf.DUMMYFUNCTION("""COMPUTED_VALUE"""),"Uncommon")</f>
        <v>Uncommon</v>
      </c>
      <c r="D68" s="11">
        <f>IFERROR(__xludf.DUMMYFUNCTION("""COMPUTED_VALUE"""),20000.0)</f>
        <v>20000</v>
      </c>
      <c r="E68" s="4" t="str">
        <f>IFERROR(__xludf.DUMMYFUNCTION("""COMPUTED_VALUE"""),"Thirst")</f>
        <v>Thirst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0" t="str">
        <f>IFERROR(__xludf.DUMMYFUNCTION("""COMPUTED_VALUE"""),"Galingale (Cyperus spp.)")</f>
        <v>Galingale (Cyperus spp.)</v>
      </c>
      <c r="B69" s="9" t="str">
        <f>IFERROR(__xludf.DUMMYFUNCTION("""COMPUTED_VALUE"""),"Disease Antidote")</f>
        <v>Disease Antidote</v>
      </c>
      <c r="C69" s="9" t="str">
        <f>IFERROR(__xludf.DUMMYFUNCTION("""COMPUTED_VALUE"""),"Rare")</f>
        <v>Rare</v>
      </c>
      <c r="D69" s="11">
        <f>IFERROR(__xludf.DUMMYFUNCTION("""COMPUTED_VALUE"""),20000.0)</f>
        <v>20000</v>
      </c>
      <c r="E69" s="4" t="str">
        <f>IFERROR(__xludf.DUMMYFUNCTION("""COMPUTED_VALUE"""),"Cure")</f>
        <v>Cure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9" t="str">
        <f>IFERROR(__xludf.DUMMYFUNCTION("""COMPUTED_VALUE"""),"Garlic (Allium sativum)")</f>
        <v>Garlic (Allium sativum)</v>
      </c>
      <c r="B70" s="9" t="str">
        <f>IFERROR(__xludf.DUMMYFUNCTION("""COMPUTED_VALUE"""),"Stat Increase (+5 to one perk until end of battle or for 1 rp action.)")</f>
        <v>Stat Increase (+5 to one perk until end of battle or for 1 rp action.)</v>
      </c>
      <c r="C70" s="9" t="str">
        <f>IFERROR(__xludf.DUMMYFUNCTION("""COMPUTED_VALUE"""),"Common")</f>
        <v>Common</v>
      </c>
      <c r="D70" s="11">
        <f>IFERROR(__xludf.DUMMYFUNCTION("""COMPUTED_VALUE"""),20000.0)</f>
        <v>20000</v>
      </c>
      <c r="E70" s="4" t="str">
        <f>IFERROR(__xludf.DUMMYFUNCTION("""COMPUTED_VALUE"""),"Statin")</f>
        <v>Statin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9" t="str">
        <f>IFERROR(__xludf.DUMMYFUNCTION("""COMPUTED_VALUE"""),"Garlic chives (Allium tuberosum)")</f>
        <v>Garlic chives (Allium tuberosum)</v>
      </c>
      <c r="B71" s="9" t="str">
        <f>IFERROR(__xludf.DUMMYFUNCTION("""COMPUTED_VALUE"""),"Stat Increase (+5 to one perk until end of battle or for 1 rp action.)")</f>
        <v>Stat Increase (+5 to one perk until end of battle or for 1 rp action.)</v>
      </c>
      <c r="C71" s="9" t="str">
        <f>IFERROR(__xludf.DUMMYFUNCTION("""COMPUTED_VALUE"""),"Common")</f>
        <v>Common</v>
      </c>
      <c r="D71" s="11">
        <f>IFERROR(__xludf.DUMMYFUNCTION("""COMPUTED_VALUE"""),20000.0)</f>
        <v>20000</v>
      </c>
      <c r="E71" s="4" t="str">
        <f>IFERROR(__xludf.DUMMYFUNCTION("""COMPUTED_VALUE"""),"Statin")</f>
        <v>Statin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9" t="str">
        <f>IFERROR(__xludf.DUMMYFUNCTION("""COMPUTED_VALUE"""),"Ginger (Zingiber officinale)")</f>
        <v>Ginger (Zingiber officinale)</v>
      </c>
      <c r="B72" s="9" t="str">
        <f>IFERROR(__xludf.DUMMYFUNCTION("""COMPUTED_VALUE"""),"Stat Increase (+5 to one perk until end of battle or for 1 rp action.)")</f>
        <v>Stat Increase (+5 to one perk until end of battle or for 1 rp action.)</v>
      </c>
      <c r="C72" s="9" t="str">
        <f>IFERROR(__xludf.DUMMYFUNCTION("""COMPUTED_VALUE"""),"Common")</f>
        <v>Common</v>
      </c>
      <c r="D72" s="11">
        <f>IFERROR(__xludf.DUMMYFUNCTION("""COMPUTED_VALUE"""),20000.0)</f>
        <v>20000</v>
      </c>
      <c r="E72" s="4" t="str">
        <f>IFERROR(__xludf.DUMMYFUNCTION("""COMPUTED_VALUE"""),"Statin")</f>
        <v>Statin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 t="str">
        <f>IFERROR(__xludf.DUMMYFUNCTION("""COMPUTED_VALUE"""),"Ginger, torch, bunga siantan (Etlingera elatior) (Indonesia)")</f>
        <v>Ginger, torch, bunga siantan (Etlingera elatior) (Indonesia)</v>
      </c>
      <c r="B73" s="9" t="str">
        <f>IFERROR(__xludf.DUMMYFUNCTION("""COMPUTED_VALUE"""),"Stat Increase (+5 to one perk until end of battle or for 1 rp action.)")</f>
        <v>Stat Increase (+5 to one perk until end of battle or for 1 rp action.)</v>
      </c>
      <c r="C73" s="9" t="str">
        <f>IFERROR(__xludf.DUMMYFUNCTION("""COMPUTED_VALUE"""),"Common")</f>
        <v>Common</v>
      </c>
      <c r="D73" s="11">
        <f>IFERROR(__xludf.DUMMYFUNCTION("""COMPUTED_VALUE"""),20000.0)</f>
        <v>20000</v>
      </c>
      <c r="E73" s="4" t="str">
        <f>IFERROR(__xludf.DUMMYFUNCTION("""COMPUTED_VALUE"""),"StatIn")</f>
        <v>StatIn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9" t="str">
        <f>IFERROR(__xludf.DUMMYFUNCTION("""COMPUTED_VALUE"""),"Golpar, Persian hogweed (Heracleum persicum) (Iran)")</f>
        <v>Golpar, Persian hogweed (Heracleum persicum) (Iran)</v>
      </c>
      <c r="B74" s="9" t="str">
        <f>IFERROR(__xludf.DUMMYFUNCTION("""COMPUTED_VALUE"""),"Stat Increase (+5 to one perk until end of battle or for 1 rp action.)")</f>
        <v>Stat Increase (+5 to one perk until end of battle or for 1 rp action.)</v>
      </c>
      <c r="C74" s="9" t="str">
        <f>IFERROR(__xludf.DUMMYFUNCTION("""COMPUTED_VALUE"""),"Uncommon")</f>
        <v>Uncommon</v>
      </c>
      <c r="D74" s="11">
        <f>IFERROR(__xludf.DUMMYFUNCTION("""COMPUTED_VALUE"""),20000.0)</f>
        <v>20000</v>
      </c>
      <c r="E74" s="4" t="str">
        <f>IFERROR(__xludf.DUMMYFUNCTION("""COMPUTED_VALUE"""),"StatIn")</f>
        <v>StatIn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9" t="str">
        <f>IFERROR(__xludf.DUMMYFUNCTION("""COMPUTED_VALUE"""),"Grains of paradise (Aframomum melegueta)")</f>
        <v>Grains of paradise (Aframomum melegueta)</v>
      </c>
      <c r="B75" s="9" t="str">
        <f>IFERROR(__xludf.DUMMYFUNCTION("""COMPUTED_VALUE"""),"Level Gain (+1 levels)")</f>
        <v>Level Gain (+1 levels)</v>
      </c>
      <c r="C75" s="9" t="str">
        <f>IFERROR(__xludf.DUMMYFUNCTION("""COMPUTED_VALUE"""),"Common")</f>
        <v>Common</v>
      </c>
      <c r="D75" s="11">
        <f>IFERROR(__xludf.DUMMYFUNCTION("""COMPUTED_VALUE"""),20000.0)</f>
        <v>20000</v>
      </c>
      <c r="E75" s="4" t="str">
        <f>IFERROR(__xludf.DUMMYFUNCTION("""COMPUTED_VALUE"""),"Level")</f>
        <v>Level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9" t="str">
        <f>IFERROR(__xludf.DUMMYFUNCTION("""COMPUTED_VALUE"""),"Grains of Selim, Kani pepper (Xylopia aethiopica)")</f>
        <v>Grains of Selim, Kani pepper (Xylopia aethiopica)</v>
      </c>
      <c r="B76" s="9" t="str">
        <f>IFERROR(__xludf.DUMMYFUNCTION("""COMPUTED_VALUE"""),"Curse Antidote")</f>
        <v>Curse Antidote</v>
      </c>
      <c r="C76" s="9" t="str">
        <f>IFERROR(__xludf.DUMMYFUNCTION("""COMPUTED_VALUE"""),"Rare")</f>
        <v>Rare</v>
      </c>
      <c r="D76" s="11">
        <f>IFERROR(__xludf.DUMMYFUNCTION("""COMPUTED_VALUE"""),20000.0)</f>
        <v>20000</v>
      </c>
      <c r="E76" s="4" t="str">
        <f>IFERROR(__xludf.DUMMYFUNCTION("""COMPUTED_VALUE"""),"Cure")</f>
        <v>Cure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9" t="str">
        <f>IFERROR(__xludf.DUMMYFUNCTION("""COMPUTED_VALUE"""),"Horseradish (Armoracia rusticana)")</f>
        <v>Horseradish (Armoracia rusticana)</v>
      </c>
      <c r="B77" s="9" t="str">
        <f>IFERROR(__xludf.DUMMYFUNCTION("""COMPUTED_VALUE"""),"Level Gain (+1 levels)")</f>
        <v>Level Gain (+1 levels)</v>
      </c>
      <c r="C77" s="9" t="str">
        <f>IFERROR(__xludf.DUMMYFUNCTION("""COMPUTED_VALUE"""),"Common")</f>
        <v>Common</v>
      </c>
      <c r="D77" s="11">
        <f>IFERROR(__xludf.DUMMYFUNCTION("""COMPUTED_VALUE"""),20000.0)</f>
        <v>20000</v>
      </c>
      <c r="E77" s="4" t="str">
        <f>IFERROR(__xludf.DUMMYFUNCTION("""COMPUTED_VALUE"""),"DMG")</f>
        <v>DMG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9" t="str">
        <f>IFERROR(__xludf.DUMMYFUNCTION("""COMPUTED_VALUE"""),"Houttuynia cordata (Vietnam)")</f>
        <v>Houttuynia cordata (Vietnam)</v>
      </c>
      <c r="B78" s="9" t="str">
        <f>IFERROR(__xludf.DUMMYFUNCTION("""COMPUTED_VALUE"""),"Restore 100SP")</f>
        <v>Restore 100SP</v>
      </c>
      <c r="C78" s="9" t="str">
        <f>IFERROR(__xludf.DUMMYFUNCTION("""COMPUTED_VALUE"""),"Legendary")</f>
        <v>Legendary</v>
      </c>
      <c r="D78" s="11">
        <f>IFERROR(__xludf.DUMMYFUNCTION("""COMPUTED_VALUE"""),20000.0)</f>
        <v>20000</v>
      </c>
      <c r="E78" s="4" t="str">
        <f>IFERROR(__xludf.DUMMYFUNCTION("""COMPUTED_VALUE"""),"Restore")</f>
        <v>Restore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9" t="str">
        <f>IFERROR(__xludf.DUMMYFUNCTION("""COMPUTED_VALUE"""),"Huacatay, Mexican marigold, mint marigold (Tagetes minuta)")</f>
        <v>Huacatay, Mexican marigold, mint marigold (Tagetes minuta)</v>
      </c>
      <c r="B79" s="9" t="str">
        <f>IFERROR(__xludf.DUMMYFUNCTION("""COMPUTED_VALUE"""),"Level Gain (+1 levels)")</f>
        <v>Level Gain (+1 levels)</v>
      </c>
      <c r="C79" s="9" t="str">
        <f>IFERROR(__xludf.DUMMYFUNCTION("""COMPUTED_VALUE"""),"Mythic")</f>
        <v>Mythic</v>
      </c>
      <c r="D79" s="11">
        <f>IFERROR(__xludf.DUMMYFUNCTION("""COMPUTED_VALUE"""),20000.0)</f>
        <v>20000</v>
      </c>
      <c r="E79" s="4" t="str">
        <f>IFERROR(__xludf.DUMMYFUNCTION("""COMPUTED_VALUE"""),"Level")</f>
        <v>Level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 t="str">
        <f>IFERROR(__xludf.DUMMYFUNCTION("""COMPUTED_VALUE"""),"Hyssop (Hyssopus officinalis)")</f>
        <v>Hyssop (Hyssopus officinalis)</v>
      </c>
      <c r="B80" s="9" t="str">
        <f>IFERROR(__xludf.DUMMYFUNCTION("""COMPUTED_VALUE"""),"Level Gain (+1 level)")</f>
        <v>Level Gain (+1 level)</v>
      </c>
      <c r="C80" s="9" t="str">
        <f>IFERROR(__xludf.DUMMYFUNCTION("""COMPUTED_VALUE"""),"Uncommon")</f>
        <v>Uncommon</v>
      </c>
      <c r="D80" s="11">
        <f>IFERROR(__xludf.DUMMYFUNCTION("""COMPUTED_VALUE"""),20000.0)</f>
        <v>20000</v>
      </c>
      <c r="E80" s="4" t="str">
        <f>IFERROR(__xludf.DUMMYFUNCTION("""COMPUTED_VALUE"""),"Level")</f>
        <v>Level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9" t="str">
        <f>IFERROR(__xludf.DUMMYFUNCTION("""COMPUTED_VALUE"""),"Indonesian bay leaf, daun salam (Syzygium polyanthum)")</f>
        <v>Indonesian bay leaf, daun salam (Syzygium polyanthum)</v>
      </c>
      <c r="B81" s="9" t="str">
        <f>IFERROR(__xludf.DUMMYFUNCTION("""COMPUTED_VALUE"""),"Restore 100HP")</f>
        <v>Restore 100HP</v>
      </c>
      <c r="C81" s="9" t="str">
        <f>IFERROR(__xludf.DUMMYFUNCTION("""COMPUTED_VALUE"""),"Common")</f>
        <v>Common</v>
      </c>
      <c r="D81" s="11">
        <f>IFERROR(__xludf.DUMMYFUNCTION("""COMPUTED_VALUE"""),20000.0)</f>
        <v>20000</v>
      </c>
      <c r="E81" s="4" t="str">
        <f>IFERROR(__xludf.DUMMYFUNCTION("""COMPUTED_VALUE"""),"Restore")</f>
        <v>Restore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9" t="str">
        <f>IFERROR(__xludf.DUMMYFUNCTION("""COMPUTED_VALUE"""),"Jasmine flowers (Jasminum spp.)")</f>
        <v>Jasmine flowers (Jasminum spp.)</v>
      </c>
      <c r="B82" s="9" t="str">
        <f>IFERROR(__xludf.DUMMYFUNCTION("""COMPUTED_VALUE"""),"Level Gain (+1 level)")</f>
        <v>Level Gain (+1 level)</v>
      </c>
      <c r="C82" s="9" t="str">
        <f>IFERROR(__xludf.DUMMYFUNCTION("""COMPUTED_VALUE"""),"Common")</f>
        <v>Common</v>
      </c>
      <c r="D82" s="11">
        <f>IFERROR(__xludf.DUMMYFUNCTION("""COMPUTED_VALUE"""),20000.0)</f>
        <v>20000</v>
      </c>
      <c r="E82" s="4" t="str">
        <f>IFERROR(__xludf.DUMMYFUNCTION("""COMPUTED_VALUE"""),"Level")</f>
        <v>Level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0" t="str">
        <f>IFERROR(__xludf.DUMMYFUNCTION("""COMPUTED_VALUE"""),"Jakhya (Cleome Viscose)")</f>
        <v>Jakhya (Cleome Viscose)</v>
      </c>
      <c r="B83" s="9" t="str">
        <f>IFERROR(__xludf.DUMMYFUNCTION("""COMPUTED_VALUE"""),"Level Gain (+1 level)")</f>
        <v>Level Gain (+1 level)</v>
      </c>
      <c r="C83" s="9" t="str">
        <f>IFERROR(__xludf.DUMMYFUNCTION("""COMPUTED_VALUE"""),"Uncommon")</f>
        <v>Uncommon</v>
      </c>
      <c r="D83" s="11">
        <f>IFERROR(__xludf.DUMMYFUNCTION("""COMPUTED_VALUE"""),20000.0)</f>
        <v>20000</v>
      </c>
      <c r="E83" s="4" t="str">
        <f>IFERROR(__xludf.DUMMYFUNCTION("""COMPUTED_VALUE"""),"Level")</f>
        <v>Level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9" t="str">
        <f>IFERROR(__xludf.DUMMYFUNCTION("""COMPUTED_VALUE"""),"Jalapeño (Capsicum annuum cultivar)")</f>
        <v>Jalapeño (Capsicum annuum cultivar)</v>
      </c>
      <c r="B84" s="9" t="str">
        <f>IFERROR(__xludf.DUMMYFUNCTION("""COMPUTED_VALUE"""),"Disease Antidote")</f>
        <v>Disease Antidote</v>
      </c>
      <c r="C84" s="9" t="str">
        <f>IFERROR(__xludf.DUMMYFUNCTION("""COMPUTED_VALUE"""),"Rare")</f>
        <v>Rare</v>
      </c>
      <c r="D84" s="11">
        <f>IFERROR(__xludf.DUMMYFUNCTION("""COMPUTED_VALUE"""),20000.0)</f>
        <v>20000</v>
      </c>
      <c r="E84" s="4" t="str">
        <f>IFERROR(__xludf.DUMMYFUNCTION("""COMPUTED_VALUE"""),"Cure")</f>
        <v>Cure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9" t="str">
        <f>IFERROR(__xludf.DUMMYFUNCTION("""COMPUTED_VALUE"""),"Jiaogulan (Gynostemma pentaphyllum)")</f>
        <v>Jiaogulan (Gynostemma pentaphyllum)</v>
      </c>
      <c r="B85" s="9" t="str">
        <f>IFERROR(__xludf.DUMMYFUNCTION("""COMPUTED_VALUE"""),"Stat Increase (+5 to one perk until end of battle or for 1 rp action.)")</f>
        <v>Stat Increase (+5 to one perk until end of battle or for 1 rp action.)</v>
      </c>
      <c r="C85" s="9" t="str">
        <f>IFERROR(__xludf.DUMMYFUNCTION("""COMPUTED_VALUE"""),"Legendary")</f>
        <v>Legendary</v>
      </c>
      <c r="D85" s="11">
        <f>IFERROR(__xludf.DUMMYFUNCTION("""COMPUTED_VALUE"""),20000.0)</f>
        <v>20000</v>
      </c>
      <c r="E85" s="4" t="str">
        <f>IFERROR(__xludf.DUMMYFUNCTION("""COMPUTED_VALUE"""),"Statin")</f>
        <v>Statin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9" t="str">
        <f>IFERROR(__xludf.DUMMYFUNCTION("""COMPUTED_VALUE"""),"Jimbu (Allium hypsistum) (Nepal)")</f>
        <v>Jimbu (Allium hypsistum) (Nepal)</v>
      </c>
      <c r="B86" s="9" t="str">
        <f>IFERROR(__xludf.DUMMYFUNCTION("""COMPUTED_VALUE"""),"Stat Increase (+5 to one perk until end of battle or for 1 rp action.)")</f>
        <v>Stat Increase (+5 to one perk until end of battle or for 1 rp action.)</v>
      </c>
      <c r="C86" s="9" t="str">
        <f>IFERROR(__xludf.DUMMYFUNCTION("""COMPUTED_VALUE"""),"Legendary")</f>
        <v>Legendary</v>
      </c>
      <c r="D86" s="11">
        <f>IFERROR(__xludf.DUMMYFUNCTION("""COMPUTED_VALUE"""),20000.0)</f>
        <v>20000</v>
      </c>
      <c r="E86" s="4" t="str">
        <f>IFERROR(__xludf.DUMMYFUNCTION("""COMPUTED_VALUE"""),"Statin")</f>
        <v>Statin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9" t="str">
        <f>IFERROR(__xludf.DUMMYFUNCTION("""COMPUTED_VALUE"""),"Juniper berry (Juniperus communis)")</f>
        <v>Juniper berry (Juniperus communis)</v>
      </c>
      <c r="B87" s="9" t="str">
        <f>IFERROR(__xludf.DUMMYFUNCTION("""COMPUTED_VALUE"""),"Stat Increase (+5 to one perk until end of battle or for 1 rp action.)")</f>
        <v>Stat Increase (+5 to one perk until end of battle or for 1 rp action.)</v>
      </c>
      <c r="C87" s="9" t="str">
        <f>IFERROR(__xludf.DUMMYFUNCTION("""COMPUTED_VALUE"""),"Mythic")</f>
        <v>Mythic</v>
      </c>
      <c r="D87" s="11">
        <f>IFERROR(__xludf.DUMMYFUNCTION("""COMPUTED_VALUE"""),20000.0)</f>
        <v>20000</v>
      </c>
      <c r="E87" s="4" t="str">
        <f>IFERROR(__xludf.DUMMYFUNCTION("""COMPUTED_VALUE"""),"StatIn")</f>
        <v>StatIn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9" t="str">
        <f>IFERROR(__xludf.DUMMYFUNCTION("""COMPUTED_VALUE"""),"Kaffir lime leaves, Makrud lime leaves (Citrus hystrix) (Southeast Asia)")</f>
        <v>Kaffir lime leaves, Makrud lime leaves (Citrus hystrix) (Southeast Asia)</v>
      </c>
      <c r="B88" s="9" t="str">
        <f>IFERROR(__xludf.DUMMYFUNCTION("""COMPUTED_VALUE"""),"Restore 100SP")</f>
        <v>Restore 100SP</v>
      </c>
      <c r="C88" s="9" t="str">
        <f>IFERROR(__xludf.DUMMYFUNCTION("""COMPUTED_VALUE"""),"Uncommon")</f>
        <v>Uncommon</v>
      </c>
      <c r="D88" s="11">
        <f>IFERROR(__xludf.DUMMYFUNCTION("""COMPUTED_VALUE"""),20000.0)</f>
        <v>20000</v>
      </c>
      <c r="E88" s="4" t="str">
        <f>IFERROR(__xludf.DUMMYFUNCTION("""COMPUTED_VALUE"""),"Restore")</f>
        <v>Restore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9" t="str">
        <f>IFERROR(__xludf.DUMMYFUNCTION("""COMPUTED_VALUE"""),"Kala zeera (or kala jira), black cumin (Bunium persicum) (South Asia)")</f>
        <v>Kala zeera (or kala jira), black cumin (Bunium persicum) (South Asia)</v>
      </c>
      <c r="B89" s="9" t="str">
        <f>IFERROR(__xludf.DUMMYFUNCTION("""COMPUTED_VALUE"""),"Stat Increase (+5 to one perk until end of battle or for 1 rp action.)")</f>
        <v>Stat Increase (+5 to one perk until end of battle or for 1 rp action.)</v>
      </c>
      <c r="C89" s="9" t="str">
        <f>IFERROR(__xludf.DUMMYFUNCTION("""COMPUTED_VALUE"""),"Mythic")</f>
        <v>Mythic</v>
      </c>
      <c r="D89" s="11">
        <f>IFERROR(__xludf.DUMMYFUNCTION("""COMPUTED_VALUE"""),20000.0)</f>
        <v>20000</v>
      </c>
      <c r="E89" s="4" t="str">
        <f>IFERROR(__xludf.DUMMYFUNCTION("""COMPUTED_VALUE"""),"StatIn")</f>
        <v>StatIn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tr">
        <f>IFERROR(__xludf.DUMMYFUNCTION("""COMPUTED_VALUE"""),"Kawakawa seeds (Macropiper excelsum) (New Zealand)")</f>
        <v>Kawakawa seeds (Macropiper excelsum) (New Zealand)</v>
      </c>
      <c r="B90" s="9" t="str">
        <f>IFERROR(__xludf.DUMMYFUNCTION("""COMPUTED_VALUE"""),"Stat Increase (+5 to one perk until end of battle or for 1 rp action.)")</f>
        <v>Stat Increase (+5 to one perk until end of battle or for 1 rp action.)</v>
      </c>
      <c r="C90" s="9" t="str">
        <f>IFERROR(__xludf.DUMMYFUNCTION("""COMPUTED_VALUE"""),"Common")</f>
        <v>Common</v>
      </c>
      <c r="D90" s="11">
        <f>IFERROR(__xludf.DUMMYFUNCTION("""COMPUTED_VALUE"""),20000.0)</f>
        <v>20000</v>
      </c>
      <c r="E90" s="4" t="str">
        <f>IFERROR(__xludf.DUMMYFUNCTION("""COMPUTED_VALUE"""),"Statin")</f>
        <v>Statin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9" t="str">
        <f>IFERROR(__xludf.DUMMYFUNCTION("""COMPUTED_VALUE"""),"Keluak, kluwak, kepayang (Pangium edule)")</f>
        <v>Keluak, kluwak, kepayang (Pangium edule)</v>
      </c>
      <c r="B91" s="9" t="str">
        <f>IFERROR(__xludf.DUMMYFUNCTION("""COMPUTED_VALUE"""),"Restore 100HP")</f>
        <v>Restore 100HP</v>
      </c>
      <c r="C91" s="9" t="str">
        <f>IFERROR(__xludf.DUMMYFUNCTION("""COMPUTED_VALUE"""),"Uncommon")</f>
        <v>Uncommon</v>
      </c>
      <c r="D91" s="11">
        <f>IFERROR(__xludf.DUMMYFUNCTION("""COMPUTED_VALUE"""),20000.0)</f>
        <v>20000</v>
      </c>
      <c r="E91" s="4" t="str">
        <f>IFERROR(__xludf.DUMMYFUNCTION("""COMPUTED_VALUE"""),"Restore")</f>
        <v>Restore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9" t="str">
        <f>IFERROR(__xludf.DUMMYFUNCTION("""COMPUTED_VALUE"""),"Kencur, galangal, kentjur (Kaempferia galanga)")</f>
        <v>Kencur, galangal, kentjur (Kaempferia galanga)</v>
      </c>
      <c r="B92" s="9" t="str">
        <f>IFERROR(__xludf.DUMMYFUNCTION("""COMPUTED_VALUE"""),"Level Gain (+2 levels)")</f>
        <v>Level Gain (+2 levels)</v>
      </c>
      <c r="C92" s="9" t="str">
        <f>IFERROR(__xludf.DUMMYFUNCTION("""COMPUTED_VALUE"""),"Legendary")</f>
        <v>Legendary</v>
      </c>
      <c r="D92" s="11">
        <f>IFERROR(__xludf.DUMMYFUNCTION("""COMPUTED_VALUE"""),20000.0)</f>
        <v>20000</v>
      </c>
      <c r="E92" s="4" t="str">
        <f>IFERROR(__xludf.DUMMYFUNCTION("""COMPUTED_VALUE"""),"Level")</f>
        <v>Level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9" t="str">
        <f>IFERROR(__xludf.DUMMYFUNCTION("""COMPUTED_VALUE"""),"Kinh gioi, Vietnamese balm (Elsholtzia ciliata)")</f>
        <v>Kinh gioi, Vietnamese balm (Elsholtzia ciliata)</v>
      </c>
      <c r="B93" s="9" t="str">
        <f>IFERROR(__xludf.DUMMYFUNCTION("""COMPUTED_VALUE"""),"Stat Increase (+5 to one perk until end of battle or for 1 rp action.)")</f>
        <v>Stat Increase (+5 to one perk until end of battle or for 1 rp action.)</v>
      </c>
      <c r="C93" s="9" t="str">
        <f>IFERROR(__xludf.DUMMYFUNCTION("""COMPUTED_VALUE"""),"Mythic")</f>
        <v>Mythic</v>
      </c>
      <c r="D93" s="11">
        <f>IFERROR(__xludf.DUMMYFUNCTION("""COMPUTED_VALUE"""),20000.0)</f>
        <v>20000</v>
      </c>
      <c r="E93" s="4" t="str">
        <f>IFERROR(__xludf.DUMMYFUNCTION("""COMPUTED_VALUE"""),"StatIn")</f>
        <v>StatIn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9" t="str">
        <f>IFERROR(__xludf.DUMMYFUNCTION("""COMPUTED_VALUE"""),"Kokam seed (Garcinia indica) (Indian confectionery)")</f>
        <v>Kokam seed (Garcinia indica) (Indian confectionery)</v>
      </c>
      <c r="B94" s="9" t="str">
        <f>IFERROR(__xludf.DUMMYFUNCTION("""COMPUTED_VALUE"""),"Stat Increase (+5 to one perk until end of battle or for 1 rp action.)")</f>
        <v>Stat Increase (+5 to one perk until end of battle or for 1 rp action.)</v>
      </c>
      <c r="C94" s="9" t="str">
        <f>IFERROR(__xludf.DUMMYFUNCTION("""COMPUTED_VALUE"""),"Uncommon")</f>
        <v>Uncommon</v>
      </c>
      <c r="D94" s="11">
        <f>IFERROR(__xludf.DUMMYFUNCTION("""COMPUTED_VALUE"""),20000.0)</f>
        <v>20000</v>
      </c>
      <c r="E94" s="4" t="str">
        <f>IFERROR(__xludf.DUMMYFUNCTION("""COMPUTED_VALUE"""),"Statin")</f>
        <v>Statin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9" t="str">
        <f>IFERROR(__xludf.DUMMYFUNCTION("""COMPUTED_VALUE"""),"Korarima, Ethiopian cardamom, false cardamom (Aframomum corrorima) (Eritrea)")</f>
        <v>Korarima, Ethiopian cardamom, false cardamom (Aframomum corrorima) (Eritrea)</v>
      </c>
      <c r="B95" s="9" t="str">
        <f>IFERROR(__xludf.DUMMYFUNCTION("""COMPUTED_VALUE"""),"Stat Increase (+5 to one perk until end of battle or for 1 rp action.)")</f>
        <v>Stat Increase (+5 to one perk until end of battle or for 1 rp action.)</v>
      </c>
      <c r="C95" s="9" t="str">
        <f>IFERROR(__xludf.DUMMYFUNCTION("""COMPUTED_VALUE"""),"Uncommon")</f>
        <v>Uncommon</v>
      </c>
      <c r="D95" s="11">
        <f>IFERROR(__xludf.DUMMYFUNCTION("""COMPUTED_VALUE"""),20000.0)</f>
        <v>20000</v>
      </c>
      <c r="E95" s="4" t="str">
        <f>IFERROR(__xludf.DUMMYFUNCTION("""COMPUTED_VALUE"""),"Statin")</f>
        <v>Statin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9" t="str">
        <f>IFERROR(__xludf.DUMMYFUNCTION("""COMPUTED_VALUE"""),"Koseret leaves (Lippia abyssinica) (Ethiopia")</f>
        <v>Koseret leaves (Lippia abyssinica) (Ethiopia</v>
      </c>
      <c r="B96" s="9" t="str">
        <f>IFERROR(__xludf.DUMMYFUNCTION("""COMPUTED_VALUE"""),"Curse Antidote")</f>
        <v>Curse Antidote</v>
      </c>
      <c r="C96" s="9" t="str">
        <f>IFERROR(__xludf.DUMMYFUNCTION("""COMPUTED_VALUE"""),"Rare")</f>
        <v>Rare</v>
      </c>
      <c r="D96" s="11">
        <f>IFERROR(__xludf.DUMMYFUNCTION("""COMPUTED_VALUE"""),20000.0)</f>
        <v>20000</v>
      </c>
      <c r="E96" s="4" t="str">
        <f>IFERROR(__xludf.DUMMYFUNCTION("""COMPUTED_VALUE"""),"Cure")</f>
        <v>Cure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9" t="str">
        <f>IFERROR(__xludf.DUMMYFUNCTION("""COMPUTED_VALUE"""),"Kudum Puli (Garcinia gummi-gutta)")</f>
        <v>Kudum Puli (Garcinia gummi-gutta)</v>
      </c>
      <c r="B97" s="9" t="str">
        <f>IFERROR(__xludf.DUMMYFUNCTION("""COMPUTED_VALUE"""),"Stat Increase (+5 to one perk until end of battle or for 1 rp action.)")</f>
        <v>Stat Increase (+5 to one perk until end of battle or for 1 rp action.)</v>
      </c>
      <c r="C97" s="9" t="str">
        <f>IFERROR(__xludf.DUMMYFUNCTION("""COMPUTED_VALUE"""),"Mythic")</f>
        <v>Mythic</v>
      </c>
      <c r="D97" s="11">
        <f>IFERROR(__xludf.DUMMYFUNCTION("""COMPUTED_VALUE"""),20000.0)</f>
        <v>20000</v>
      </c>
      <c r="E97" s="4" t="str">
        <f>IFERROR(__xludf.DUMMYFUNCTION("""COMPUTED_VALUE"""),"Statin")</f>
        <v>Statin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0" t="str">
        <f>IFERROR(__xludf.DUMMYFUNCTION("""COMPUTED_VALUE"""),"Lavender (Lavandula spp.)")</f>
        <v>Lavender (Lavandula spp.)</v>
      </c>
      <c r="B98" s="9" t="str">
        <f>IFERROR(__xludf.DUMMYFUNCTION("""COMPUTED_VALUE"""),"Instant Death")</f>
        <v>Instant Death</v>
      </c>
      <c r="C98" s="9" t="str">
        <f>IFERROR(__xludf.DUMMYFUNCTION("""COMPUTED_VALUE"""),"Ultra Rare")</f>
        <v>Ultra Rare</v>
      </c>
      <c r="D98" s="11">
        <f>IFERROR(__xludf.DUMMYFUNCTION("""COMPUTED_VALUE"""),20000.0)</f>
        <v>20000</v>
      </c>
      <c r="E98" s="4" t="str">
        <f>IFERROR(__xludf.DUMMYFUNCTION("""COMPUTED_VALUE"""),"InstaDeath")</f>
        <v>InstaDeath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9" t="str">
        <f>IFERROR(__xludf.DUMMYFUNCTION("""COMPUTED_VALUE"""),"Lemon balm (Melissa officinalis)")</f>
        <v>Lemon balm (Melissa officinalis)</v>
      </c>
      <c r="B99" s="9" t="str">
        <f>IFERROR(__xludf.DUMMYFUNCTION("""COMPUTED_VALUE"""),"Stat Increase (+5 to one perk until end of battle or for 1 rp action.)")</f>
        <v>Stat Increase (+5 to one perk until end of battle or for 1 rp action.)</v>
      </c>
      <c r="C99" s="9" t="str">
        <f>IFERROR(__xludf.DUMMYFUNCTION("""COMPUTED_VALUE"""),"Common")</f>
        <v>Common</v>
      </c>
      <c r="D99" s="11">
        <f>IFERROR(__xludf.DUMMYFUNCTION("""COMPUTED_VALUE"""),20000.0)</f>
        <v>20000</v>
      </c>
      <c r="E99" s="4" t="str">
        <f>IFERROR(__xludf.DUMMYFUNCTION("""COMPUTED_VALUE"""),"StatIn")</f>
        <v>StatIn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 t="str">
        <f>IFERROR(__xludf.DUMMYFUNCTION("""COMPUTED_VALUE"""),"Lemon ironbark (Eucalyptus staigeriana) (Australia)")</f>
        <v>Lemon ironbark (Eucalyptus staigeriana) (Australia)</v>
      </c>
      <c r="B100" s="9" t="str">
        <f>IFERROR(__xludf.DUMMYFUNCTION("""COMPUTED_VALUE"""),"Stat Increase (+5 to one perk until end of battle or for 1 rp action.)")</f>
        <v>Stat Increase (+5 to one perk until end of battle or for 1 rp action.)</v>
      </c>
      <c r="C100" s="9" t="str">
        <f>IFERROR(__xludf.DUMMYFUNCTION("""COMPUTED_VALUE"""),"Uncommon")</f>
        <v>Uncommon</v>
      </c>
      <c r="D100" s="11">
        <f>IFERROR(__xludf.DUMMYFUNCTION("""COMPUTED_VALUE"""),20000.0)</f>
        <v>20000</v>
      </c>
      <c r="E100" s="4" t="str">
        <f>IFERROR(__xludf.DUMMYFUNCTION("""COMPUTED_VALUE"""),"StatIn")</f>
        <v>StatIn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9" t="str">
        <f>IFERROR(__xludf.DUMMYFUNCTION("""COMPUTED_VALUE"""),"Lemon myrtle (Backhousia citriodora) (Australia)")</f>
        <v>Lemon myrtle (Backhousia citriodora) (Australia)</v>
      </c>
      <c r="B101" s="9" t="str">
        <f>IFERROR(__xludf.DUMMYFUNCTION("""COMPUTED_VALUE"""),"Stat Increase (+5 to one perk until end of battle or for 1 rp action.)")</f>
        <v>Stat Increase (+5 to one perk until end of battle or for 1 rp action.)</v>
      </c>
      <c r="C101" s="9" t="str">
        <f>IFERROR(__xludf.DUMMYFUNCTION("""COMPUTED_VALUE"""),"Common")</f>
        <v>Common</v>
      </c>
      <c r="D101" s="11">
        <f>IFERROR(__xludf.DUMMYFUNCTION("""COMPUTED_VALUE"""),20000.0)</f>
        <v>20000</v>
      </c>
      <c r="E101" s="4" t="str">
        <f>IFERROR(__xludf.DUMMYFUNCTION("""COMPUTED_VALUE"""),"StatIn")</f>
        <v>StatIn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9" t="str">
        <f>IFERROR(__xludf.DUMMYFUNCTION("""COMPUTED_VALUE"""),"Lemon verbena (Lippia citriodora)")</f>
        <v>Lemon verbena (Lippia citriodora)</v>
      </c>
      <c r="B102" s="9" t="str">
        <f>IFERROR(__xludf.DUMMYFUNCTION("""COMPUTED_VALUE"""),"Stat Increase (+5 to one perk until end of battle or for 1 rp action.)")</f>
        <v>Stat Increase (+5 to one perk until end of battle or for 1 rp action.)</v>
      </c>
      <c r="C102" s="9" t="str">
        <f>IFERROR(__xludf.DUMMYFUNCTION("""COMPUTED_VALUE"""),"Uncommon")</f>
        <v>Uncommon</v>
      </c>
      <c r="D102" s="11">
        <f>IFERROR(__xludf.DUMMYFUNCTION("""COMPUTED_VALUE"""),20000.0)</f>
        <v>20000</v>
      </c>
      <c r="E102" s="4" t="str">
        <f>IFERROR(__xludf.DUMMYFUNCTION("""COMPUTED_VALUE"""),"StatIn")</f>
        <v>StatIn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9" t="str">
        <f>IFERROR(__xludf.DUMMYFUNCTION("""COMPUTED_VALUE"""),"Lemongrass (Cymbopogon citratus, C. flexuosus, and other Cymbopogon spp.)")</f>
        <v>Lemongrass (Cymbopogon citratus, C. flexuosus, and other Cymbopogon spp.)</v>
      </c>
      <c r="B103" s="9" t="str">
        <f>IFERROR(__xludf.DUMMYFUNCTION("""COMPUTED_VALUE"""),"Level Gain (+1 levels)")</f>
        <v>Level Gain (+1 levels)</v>
      </c>
      <c r="C103" s="9" t="str">
        <f>IFERROR(__xludf.DUMMYFUNCTION("""COMPUTED_VALUE"""),"Common")</f>
        <v>Common</v>
      </c>
      <c r="D103" s="11">
        <f>IFERROR(__xludf.DUMMYFUNCTION("""COMPUTED_VALUE"""),20000.0)</f>
        <v>20000</v>
      </c>
      <c r="E103" s="4" t="str">
        <f>IFERROR(__xludf.DUMMYFUNCTION("""COMPUTED_VALUE"""),"Level")</f>
        <v>Level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9" t="str">
        <f>IFERROR(__xludf.DUMMYFUNCTION("""COMPUTED_VALUE"""),"Leptotes bicolor (Paraguay and southern Brazil)")</f>
        <v>Leptotes bicolor (Paraguay and southern Brazil)</v>
      </c>
      <c r="B104" s="9" t="str">
        <f>IFERROR(__xludf.DUMMYFUNCTION("""COMPUTED_VALUE"""),"Stat Increase (+5 to one perk until end of battle or for 1 rp action.)")</f>
        <v>Stat Increase (+5 to one perk until end of battle or for 1 rp action.)</v>
      </c>
      <c r="C104" s="9" t="str">
        <f>IFERROR(__xludf.DUMMYFUNCTION("""COMPUTED_VALUE"""),"Mythic")</f>
        <v>Mythic</v>
      </c>
      <c r="D104" s="11">
        <f>IFERROR(__xludf.DUMMYFUNCTION("""COMPUTED_VALUE"""),20000.0)</f>
        <v>20000</v>
      </c>
      <c r="E104" s="4" t="str">
        <f>IFERROR(__xludf.DUMMYFUNCTION("""COMPUTED_VALUE"""),"Statin")</f>
        <v>Statin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9" t="str">
        <f>IFERROR(__xludf.DUMMYFUNCTION("""COMPUTED_VALUE"""),"Lesser calamint (Calamintha nepeta), nipitella, nepitella (Italy)")</f>
        <v>Lesser calamint (Calamintha nepeta), nipitella, nepitella (Italy)</v>
      </c>
      <c r="B105" s="9" t="str">
        <f>IFERROR(__xludf.DUMMYFUNCTION("""COMPUTED_VALUE"""),"Stat Increase (+5 to one perk until end of battle or for 1 rp action.)")</f>
        <v>Stat Increase (+5 to one perk until end of battle or for 1 rp action.)</v>
      </c>
      <c r="C105" s="9" t="str">
        <f>IFERROR(__xludf.DUMMYFUNCTION("""COMPUTED_VALUE"""),"Mythic")</f>
        <v>Mythic</v>
      </c>
      <c r="D105" s="11">
        <f>IFERROR(__xludf.DUMMYFUNCTION("""COMPUTED_VALUE"""),20000.0)</f>
        <v>20000</v>
      </c>
      <c r="E105" s="4" t="str">
        <f>IFERROR(__xludf.DUMMYFUNCTION("""COMPUTED_VALUE"""),"Statin")</f>
        <v>Statin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9" t="str">
        <f>IFERROR(__xludf.DUMMYFUNCTION("""COMPUTED_VALUE"""),"Licorice, liquorice (Glycyrrhiza glabra)")</f>
        <v>Licorice, liquorice (Glycyrrhiza glabra)</v>
      </c>
      <c r="B106" s="9" t="str">
        <f>IFERROR(__xludf.DUMMYFUNCTION("""COMPUTED_VALUE"""),"Turn Order (-2)")</f>
        <v>Turn Order (-2)</v>
      </c>
      <c r="C106" s="9" t="str">
        <f>IFERROR(__xludf.DUMMYFUNCTION("""COMPUTED_VALUE"""),"Common")</f>
        <v>Common</v>
      </c>
      <c r="D106" s="11">
        <f>IFERROR(__xludf.DUMMYFUNCTION("""COMPUTED_VALUE"""),20000.0)</f>
        <v>20000</v>
      </c>
      <c r="E106" s="4" t="str">
        <f>IFERROR(__xludf.DUMMYFUNCTION("""COMPUTED_VALUE"""),"TurnOrder")</f>
        <v>TurnOrder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9" t="str">
        <f>IFERROR(__xludf.DUMMYFUNCTION("""COMPUTED_VALUE"""),"Lime flower, linden flower (Tilia spp.)")</f>
        <v>Lime flower, linden flower (Tilia spp.)</v>
      </c>
      <c r="B107" s="9" t="str">
        <f>IFERROR(__xludf.DUMMYFUNCTION("""COMPUTED_VALUE"""),"Level Gain (+1 levels)")</f>
        <v>Level Gain (+1 levels)</v>
      </c>
      <c r="C107" s="9" t="str">
        <f>IFERROR(__xludf.DUMMYFUNCTION("""COMPUTED_VALUE"""),"Legendary")</f>
        <v>Legendary</v>
      </c>
      <c r="D107" s="11">
        <f>IFERROR(__xludf.DUMMYFUNCTION("""COMPUTED_VALUE"""),20000.0)</f>
        <v>20000</v>
      </c>
      <c r="E107" s="4" t="str">
        <f>IFERROR(__xludf.DUMMYFUNCTION("""COMPUTED_VALUE"""),"Level")</f>
        <v>Level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9" t="str">
        <f>IFERROR(__xludf.DUMMYFUNCTION("""COMPUTED_VALUE"""),"Lovage (Levisticum officinale)")</f>
        <v>Lovage (Levisticum officinale)</v>
      </c>
      <c r="B108" s="9" t="str">
        <f>IFERROR(__xludf.DUMMYFUNCTION("""COMPUTED_VALUE"""),"Level Gain (+1 levels)")</f>
        <v>Level Gain (+1 levels)</v>
      </c>
      <c r="C108" s="9" t="str">
        <f>IFERROR(__xludf.DUMMYFUNCTION("""COMPUTED_VALUE"""),"Common")</f>
        <v>Common</v>
      </c>
      <c r="D108" s="11">
        <f>IFERROR(__xludf.DUMMYFUNCTION("""COMPUTED_VALUE"""),20000.0)</f>
        <v>20000</v>
      </c>
      <c r="E108" s="4" t="str">
        <f>IFERROR(__xludf.DUMMYFUNCTION("""COMPUTED_VALUE"""),"Level")</f>
        <v>Level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9" t="str">
        <f>IFERROR(__xludf.DUMMYFUNCTION("""COMPUTED_VALUE"""),"Locust beans (Ceratonia siliqua)")</f>
        <v>Locust beans (Ceratonia siliqua)</v>
      </c>
      <c r="B109" s="9" t="str">
        <f>IFERROR(__xludf.DUMMYFUNCTION("""COMPUTED_VALUE"""),"Level Gain (+2 levels)")</f>
        <v>Level Gain (+2 levels)</v>
      </c>
      <c r="C109" s="9" t="str">
        <f>IFERROR(__xludf.DUMMYFUNCTION("""COMPUTED_VALUE"""),"Common")</f>
        <v>Common</v>
      </c>
      <c r="D109" s="11">
        <f>IFERROR(__xludf.DUMMYFUNCTION("""COMPUTED_VALUE"""),20000.0)</f>
        <v>20000</v>
      </c>
      <c r="E109" s="4" t="str">
        <f>IFERROR(__xludf.DUMMYFUNCTION("""COMPUTED_VALUE"""),"Level")</f>
        <v>Level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9" t="str">
        <f>IFERROR(__xludf.DUMMYFUNCTION("""COMPUTED_VALUE"""),"Mace (Myristica fragrans)")</f>
        <v>Mace (Myristica fragrans)</v>
      </c>
      <c r="B110" s="9" t="str">
        <f>IFERROR(__xludf.DUMMYFUNCTION("""COMPUTED_VALUE"""),"Level Gain (+2 levels)")</f>
        <v>Level Gain (+2 levels)</v>
      </c>
      <c r="C110" s="9" t="str">
        <f>IFERROR(__xludf.DUMMYFUNCTION("""COMPUTED_VALUE"""),"Uncommon")</f>
        <v>Uncommon</v>
      </c>
      <c r="D110" s="11">
        <f>IFERROR(__xludf.DUMMYFUNCTION("""COMPUTED_VALUE"""),20000.0)</f>
        <v>20000</v>
      </c>
      <c r="E110" s="4" t="str">
        <f>IFERROR(__xludf.DUMMYFUNCTION("""COMPUTED_VALUE"""),"Level")</f>
        <v>Level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9" t="str">
        <f>IFERROR(__xludf.DUMMYFUNCTION("""COMPUTED_VALUE"""),"Mahleb, St. Lucie cherry (Prunus mahaleb)")</f>
        <v>Mahleb, St. Lucie cherry (Prunus mahaleb)</v>
      </c>
      <c r="B111" s="9" t="str">
        <f>IFERROR(__xludf.DUMMYFUNCTION("""COMPUTED_VALUE"""),"Stat Increase (+5 to one perk until end of battle or for 1 rp action.)")</f>
        <v>Stat Increase (+5 to one perk until end of battle or for 1 rp action.)</v>
      </c>
      <c r="C111" s="9" t="str">
        <f>IFERROR(__xludf.DUMMYFUNCTION("""COMPUTED_VALUE"""),"Mythic")</f>
        <v>Mythic</v>
      </c>
      <c r="D111" s="11">
        <f>IFERROR(__xludf.DUMMYFUNCTION("""COMPUTED_VALUE"""),20000.0)</f>
        <v>20000</v>
      </c>
      <c r="E111" s="4" t="str">
        <f>IFERROR(__xludf.DUMMYFUNCTION("""COMPUTED_VALUE"""),"Statin")</f>
        <v>Statin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9" t="str">
        <f>IFERROR(__xludf.DUMMYFUNCTION("""COMPUTED_VALUE"""),"Marjoram (Origanum majorana)")</f>
        <v>Marjoram (Origanum majorana)</v>
      </c>
      <c r="B112" s="9" t="str">
        <f>IFERROR(__xludf.DUMMYFUNCTION("""COMPUTED_VALUE"""),"Restore 100SP")</f>
        <v>Restore 100SP</v>
      </c>
      <c r="C112" s="9" t="str">
        <f>IFERROR(__xludf.DUMMYFUNCTION("""COMPUTED_VALUE"""),"Legendary")</f>
        <v>Legendary</v>
      </c>
      <c r="D112" s="11">
        <f>IFERROR(__xludf.DUMMYFUNCTION("""COMPUTED_VALUE"""),20000.0)</f>
        <v>20000</v>
      </c>
      <c r="E112" s="4" t="str">
        <f>IFERROR(__xludf.DUMMYFUNCTION("""COMPUTED_VALUE"""),"Restore")</f>
        <v>Restore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9" t="str">
        <f>IFERROR(__xludf.DUMMYFUNCTION("""COMPUTED_VALUE"""),"Mastic (Pistacia lentiscus)")</f>
        <v>Mastic (Pistacia lentiscus)</v>
      </c>
      <c r="B113" s="9" t="str">
        <f>IFERROR(__xludf.DUMMYFUNCTION("""COMPUTED_VALUE"""),"Restore 100HP")</f>
        <v>Restore 100HP</v>
      </c>
      <c r="C113" s="9" t="str">
        <f>IFERROR(__xludf.DUMMYFUNCTION("""COMPUTED_VALUE"""),"Common")</f>
        <v>Common</v>
      </c>
      <c r="D113" s="11">
        <f>IFERROR(__xludf.DUMMYFUNCTION("""COMPUTED_VALUE"""),20000.0)</f>
        <v>20000</v>
      </c>
      <c r="E113" s="4" t="str">
        <f>IFERROR(__xludf.DUMMYFUNCTION("""COMPUTED_VALUE"""),"Restore")</f>
        <v>Restore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9" t="str">
        <f>IFERROR(__xludf.DUMMYFUNCTION("""COMPUTED_VALUE"""),"Mint (Mentha spp.), 25 species, hundreds of varieties")</f>
        <v>Mint (Mentha spp.), 25 species, hundreds of varieties</v>
      </c>
      <c r="B114" s="9" t="str">
        <f>IFERROR(__xludf.DUMMYFUNCTION("""COMPUTED_VALUE"""),"Instant Death")</f>
        <v>Instant Death</v>
      </c>
      <c r="C114" s="9" t="str">
        <f>IFERROR(__xludf.DUMMYFUNCTION("""COMPUTED_VALUE"""),"Ultra Rare")</f>
        <v>Ultra Rare</v>
      </c>
      <c r="D114" s="11">
        <f>IFERROR(__xludf.DUMMYFUNCTION("""COMPUTED_VALUE"""),20000.0)</f>
        <v>20000</v>
      </c>
      <c r="E114" s="4" t="str">
        <f>IFERROR(__xludf.DUMMYFUNCTION("""COMPUTED_VALUE"""),"InstaDeath")</f>
        <v>InstaDeath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9" t="str">
        <f>IFERROR(__xludf.DUMMYFUNCTION("""COMPUTED_VALUE"""),"Mountain horopito (Pseudowintera colorata), 'pepper-plant' (New Zealand)")</f>
        <v>Mountain horopito (Pseudowintera colorata), 'pepper-plant' (New Zealand)</v>
      </c>
      <c r="B115" s="9" t="str">
        <f>IFERROR(__xludf.DUMMYFUNCTION("""COMPUTED_VALUE"""),"Level Gain (+1 levels)")</f>
        <v>Level Gain (+1 levels)</v>
      </c>
      <c r="C115" s="9" t="str">
        <f>IFERROR(__xludf.DUMMYFUNCTION("""COMPUTED_VALUE"""),"Mythic")</f>
        <v>Mythic</v>
      </c>
      <c r="D115" s="11">
        <f>IFERROR(__xludf.DUMMYFUNCTION("""COMPUTED_VALUE"""),20000.0)</f>
        <v>20000</v>
      </c>
      <c r="E115" s="4" t="str">
        <f>IFERROR(__xludf.DUMMYFUNCTION("""COMPUTED_VALUE"""),"Level")</f>
        <v>Level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9" t="str">
        <f>IFERROR(__xludf.DUMMYFUNCTION("""COMPUTED_VALUE"""),"Musk mallow, abelmosk (Abelmoschus moschatus)")</f>
        <v>Musk mallow, abelmosk (Abelmoschus moschatus)</v>
      </c>
      <c r="B116" s="9" t="str">
        <f>IFERROR(__xludf.DUMMYFUNCTION("""COMPUTED_VALUE"""),"Stat Increase (+5 to one perk until end of battle or for 1 rp action.)")</f>
        <v>Stat Increase (+5 to one perk until end of battle or for 1 rp action.)</v>
      </c>
      <c r="C116" s="9" t="str">
        <f>IFERROR(__xludf.DUMMYFUNCTION("""COMPUTED_VALUE"""),"Uncommon")</f>
        <v>Uncommon</v>
      </c>
      <c r="D116" s="11">
        <f>IFERROR(__xludf.DUMMYFUNCTION("""COMPUTED_VALUE"""),20000.0)</f>
        <v>20000</v>
      </c>
      <c r="E116" s="4" t="str">
        <f>IFERROR(__xludf.DUMMYFUNCTION("""COMPUTED_VALUE"""),"Hunger")</f>
        <v>Hunger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9" t="str">
        <f>IFERROR(__xludf.DUMMYFUNCTION("""COMPUTED_VALUE"""),"Mustard, black, mustard plant, mustard seed (Brassica nigra)")</f>
        <v>Mustard, black, mustard plant, mustard seed (Brassica nigra)</v>
      </c>
      <c r="B117" s="9" t="str">
        <f>IFERROR(__xludf.DUMMYFUNCTION("""COMPUTED_VALUE"""),"Level Gain (+1 level)")</f>
        <v>Level Gain (+1 level)</v>
      </c>
      <c r="C117" s="9" t="str">
        <f>IFERROR(__xludf.DUMMYFUNCTION("""COMPUTED_VALUE"""),"Common")</f>
        <v>Common</v>
      </c>
      <c r="D117" s="11">
        <f>IFERROR(__xludf.DUMMYFUNCTION("""COMPUTED_VALUE"""),20000.0)</f>
        <v>20000</v>
      </c>
      <c r="E117" s="4" t="str">
        <f>IFERROR(__xludf.DUMMYFUNCTION("""COMPUTED_VALUE"""),"Level")</f>
        <v>Level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9" t="str">
        <f>IFERROR(__xludf.DUMMYFUNCTION("""COMPUTED_VALUE"""),"Mustard, brown, mustard plant, mustard seed (Brassica juncea)")</f>
        <v>Mustard, brown, mustard plant, mustard seed (Brassica juncea)</v>
      </c>
      <c r="B118" s="9" t="str">
        <f>IFERROR(__xludf.DUMMYFUNCTION("""COMPUTED_VALUE"""),"Stat Increase (+5 to one perk until end of battle or for 1 rp action.)")</f>
        <v>Stat Increase (+5 to one perk until end of battle or for 1 rp action.)</v>
      </c>
      <c r="C118" s="9" t="str">
        <f>IFERROR(__xludf.DUMMYFUNCTION("""COMPUTED_VALUE"""),"Common")</f>
        <v>Common</v>
      </c>
      <c r="D118" s="11">
        <f>IFERROR(__xludf.DUMMYFUNCTION("""COMPUTED_VALUE"""),20000.0)</f>
        <v>20000</v>
      </c>
      <c r="E118" s="4" t="str">
        <f>IFERROR(__xludf.DUMMYFUNCTION("""COMPUTED_VALUE"""),"StatIn")</f>
        <v>StatIn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9" t="str">
        <f>IFERROR(__xludf.DUMMYFUNCTION("""COMPUTED_VALUE"""),"Mustard, white, mustard plant, mustard seed (Sinapis alba)")</f>
        <v>Mustard, white, mustard plant, mustard seed (Sinapis alba)</v>
      </c>
      <c r="B119" s="9" t="str">
        <f>IFERROR(__xludf.DUMMYFUNCTION("""COMPUTED_VALUE"""),"Stat Increase (+5 to one perk until end of battle or for 1 rp action.)")</f>
        <v>Stat Increase (+5 to one perk until end of battle or for 1 rp action.)</v>
      </c>
      <c r="C119" s="9" t="str">
        <f>IFERROR(__xludf.DUMMYFUNCTION("""COMPUTED_VALUE"""),"Common")</f>
        <v>Common</v>
      </c>
      <c r="D119" s="11">
        <f>IFERROR(__xludf.DUMMYFUNCTION("""COMPUTED_VALUE"""),20000.0)</f>
        <v>20000</v>
      </c>
      <c r="E119" s="4" t="str">
        <f>IFERROR(__xludf.DUMMYFUNCTION("""COMPUTED_VALUE"""),"StatIn")</f>
        <v>StatIn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9" t="str">
        <f>IFERROR(__xludf.DUMMYFUNCTION("""COMPUTED_VALUE"""),"Mustard, yellow (Brassica hirta = Sinapis alba)")</f>
        <v>Mustard, yellow (Brassica hirta = Sinapis alba)</v>
      </c>
      <c r="B120" s="9" t="str">
        <f>IFERROR(__xludf.DUMMYFUNCTION("""COMPUTED_VALUE"""),"Level Gain (+1 level)")</f>
        <v>Level Gain (+1 level)</v>
      </c>
      <c r="C120" s="9" t="str">
        <f>IFERROR(__xludf.DUMMYFUNCTION("""COMPUTED_VALUE"""),"Common")</f>
        <v>Common</v>
      </c>
      <c r="D120" s="11">
        <f>IFERROR(__xludf.DUMMYFUNCTION("""COMPUTED_VALUE"""),20000.0)</f>
        <v>20000</v>
      </c>
      <c r="E120" s="4" t="str">
        <f>IFERROR(__xludf.DUMMYFUNCTION("""COMPUTED_VALUE"""),"Level")</f>
        <v>Level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9" t="str">
        <f>IFERROR(__xludf.DUMMYFUNCTION("""COMPUTED_VALUE"""),"New Mexico chile, green chile or red chile, sometimes referred to as Hatch peppers (Capsicum annuum New Mexico Group, includes 6-4, Anaheim, Big Jim, Heritage, Sandia, and other sub-cultivars)")</f>
        <v>New Mexico chile, green chile or red chile, sometimes referred to as Hatch peppers (Capsicum annuum New Mexico Group, includes 6-4, Anaheim, Big Jim, Heritage, Sandia, and other sub-cultivars)</v>
      </c>
      <c r="B121" s="9" t="str">
        <f>IFERROR(__xludf.DUMMYFUNCTION("""COMPUTED_VALUE"""),"Disease Antidote")</f>
        <v>Disease Antidote</v>
      </c>
      <c r="C121" s="9" t="str">
        <f>IFERROR(__xludf.DUMMYFUNCTION("""COMPUTED_VALUE"""),"Rare")</f>
        <v>Rare</v>
      </c>
      <c r="D121" s="11">
        <f>IFERROR(__xludf.DUMMYFUNCTION("""COMPUTED_VALUE"""),20000.0)</f>
        <v>20000</v>
      </c>
      <c r="E121" s="4" t="str">
        <f>IFERROR(__xludf.DUMMYFUNCTION("""COMPUTED_VALUE"""),"Cure")</f>
        <v>Cure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9" t="str">
        <f>IFERROR(__xludf.DUMMYFUNCTION("""COMPUTED_VALUE"""),"Nigella, black caraway, black cumin, black onion seed, kalonji(Nigella sativa)")</f>
        <v>Nigella, black caraway, black cumin, black onion seed, kalonji(Nigella sativa)</v>
      </c>
      <c r="B122" s="9" t="str">
        <f>IFERROR(__xludf.DUMMYFUNCTION("""COMPUTED_VALUE"""),"Level Gain (+2 levels)")</f>
        <v>Level Gain (+2 levels)</v>
      </c>
      <c r="C122" s="9" t="str">
        <f>IFERROR(__xludf.DUMMYFUNCTION("""COMPUTED_VALUE"""),"Mythic")</f>
        <v>Mythic</v>
      </c>
      <c r="D122" s="11">
        <f>IFERROR(__xludf.DUMMYFUNCTION("""COMPUTED_VALUE"""),20000.0)</f>
        <v>20000</v>
      </c>
      <c r="E122" s="4" t="str">
        <f>IFERROR(__xludf.DUMMYFUNCTION("""COMPUTED_VALUE"""),"Level")</f>
        <v>Level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9" t="str">
        <f>IFERROR(__xludf.DUMMYFUNCTION("""COMPUTED_VALUE"""),"Njangsa, djansang (Ricinodendron heudelotii) (West Africa)")</f>
        <v>Njangsa, djansang (Ricinodendron heudelotii) (West Africa)</v>
      </c>
      <c r="B123" s="9" t="str">
        <f>IFERROR(__xludf.DUMMYFUNCTION("""COMPUTED_VALUE"""),"Curse Antidote")</f>
        <v>Curse Antidote</v>
      </c>
      <c r="C123" s="9" t="str">
        <f>IFERROR(__xludf.DUMMYFUNCTION("""COMPUTED_VALUE"""),"Mythic")</f>
        <v>Mythic</v>
      </c>
      <c r="D123" s="11">
        <f>IFERROR(__xludf.DUMMYFUNCTION("""COMPUTED_VALUE"""),20000.0)</f>
        <v>20000</v>
      </c>
      <c r="E123" s="4" t="str">
        <f>IFERROR(__xludf.DUMMYFUNCTION("""COMPUTED_VALUE"""),"Cure")</f>
        <v>Cure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9" t="str">
        <f>IFERROR(__xludf.DUMMYFUNCTION("""COMPUTED_VALUE"""),"Nutmeg (Myristica fragrans)Orris root (Iris germanica, I. florentina, I. pallida)")</f>
        <v>Nutmeg (Myristica fragrans)Orris root (Iris germanica, I. florentina, I. pallida)</v>
      </c>
      <c r="B124" s="9" t="str">
        <f>IFERROR(__xludf.DUMMYFUNCTION("""COMPUTED_VALUE"""),"Restore 100SP")</f>
        <v>Restore 100SP</v>
      </c>
      <c r="C124" s="9" t="str">
        <f>IFERROR(__xludf.DUMMYFUNCTION("""COMPUTED_VALUE"""),"Common")</f>
        <v>Common</v>
      </c>
      <c r="D124" s="11">
        <f>IFERROR(__xludf.DUMMYFUNCTION("""COMPUTED_VALUE"""),20000.0)</f>
        <v>20000</v>
      </c>
      <c r="E124" s="4" t="str">
        <f>IFERROR(__xludf.DUMMYFUNCTION("""COMPUTED_VALUE"""),"Restore")</f>
        <v>Restore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9" t="str">
        <f>IFERROR(__xludf.DUMMYFUNCTION("""COMPUTED_VALUE"""),"Olida (Eucalyptus olida) (Australia)")</f>
        <v>Olida (Eucalyptus olida) (Australia)</v>
      </c>
      <c r="B125" s="9" t="str">
        <f>IFERROR(__xludf.DUMMYFUNCTION("""COMPUTED_VALUE"""),"Turn Order (-3)")</f>
        <v>Turn Order (-3)</v>
      </c>
      <c r="C125" s="9" t="str">
        <f>IFERROR(__xludf.DUMMYFUNCTION("""COMPUTED_VALUE"""),"Uncommon")</f>
        <v>Uncommon</v>
      </c>
      <c r="D125" s="11">
        <f>IFERROR(__xludf.DUMMYFUNCTION("""COMPUTED_VALUE"""),20000.0)</f>
        <v>20000</v>
      </c>
      <c r="E125" s="4" t="str">
        <f>IFERROR(__xludf.DUMMYFUNCTION("""COMPUTED_VALUE"""),"TurnOrder")</f>
        <v>TurnOrder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9" t="str">
        <f>IFERROR(__xludf.DUMMYFUNCTION("""COMPUTED_VALUE"""),"Oregano (Origanum vulgare, O. heracleoticum, and other species)")</f>
        <v>Oregano (Origanum vulgare, O. heracleoticum, and other species)</v>
      </c>
      <c r="B126" s="9" t="str">
        <f>IFERROR(__xludf.DUMMYFUNCTION("""COMPUTED_VALUE"""),"Stat Increase (+5 to one perk until end of battle or for 1 rp action.)")</f>
        <v>Stat Increase (+5 to one perk until end of battle or for 1 rp action.)</v>
      </c>
      <c r="C126" s="9" t="str">
        <f>IFERROR(__xludf.DUMMYFUNCTION("""COMPUTED_VALUE"""),"Common")</f>
        <v>Common</v>
      </c>
      <c r="D126" s="11">
        <f>IFERROR(__xludf.DUMMYFUNCTION("""COMPUTED_VALUE"""),20000.0)</f>
        <v>20000</v>
      </c>
      <c r="E126" s="4" t="str">
        <f>IFERROR(__xludf.DUMMYFUNCTION("""COMPUTED_VALUE"""),"StatIn")</f>
        <v>StatIn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9" t="str">
        <f>IFERROR(__xludf.DUMMYFUNCTION("""COMPUTED_VALUE"""),"Oregano, Cuban (Plectranthus amboinicus)")</f>
        <v>Oregano, Cuban (Plectranthus amboinicus)</v>
      </c>
      <c r="B127" s="9" t="str">
        <f>IFERROR(__xludf.DUMMYFUNCTION("""COMPUTED_VALUE"""),"Stat Increase (+5 to one perk until end of battle or for 1 rp action.)")</f>
        <v>Stat Increase (+5 to one perk until end of battle or for 1 rp action.)</v>
      </c>
      <c r="C127" s="9" t="str">
        <f>IFERROR(__xludf.DUMMYFUNCTION("""COMPUTED_VALUE"""),"Common")</f>
        <v>Common</v>
      </c>
      <c r="D127" s="11">
        <f>IFERROR(__xludf.DUMMYFUNCTION("""COMPUTED_VALUE"""),20000.0)</f>
        <v>20000</v>
      </c>
      <c r="E127" s="4" t="str">
        <f>IFERROR(__xludf.DUMMYFUNCTION("""COMPUTED_VALUE"""),"StatIn")</f>
        <v>StatIn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9" t="str">
        <f>IFERROR(__xludf.DUMMYFUNCTION("""COMPUTED_VALUE"""),"Pandan flower, kewra (Pandanus odoratissimus)")</f>
        <v>Pandan flower, kewra (Pandanus odoratissimus)</v>
      </c>
      <c r="B128" s="9" t="str">
        <f>IFERROR(__xludf.DUMMYFUNCTION("""COMPUTED_VALUE"""),"Disease Antidote")</f>
        <v>Disease Antidote</v>
      </c>
      <c r="C128" s="9" t="str">
        <f>IFERROR(__xludf.DUMMYFUNCTION("""COMPUTED_VALUE"""),"Rare")</f>
        <v>Rare</v>
      </c>
      <c r="D128" s="11">
        <f>IFERROR(__xludf.DUMMYFUNCTION("""COMPUTED_VALUE"""),20000.0)</f>
        <v>20000</v>
      </c>
      <c r="E128" s="4" t="str">
        <f>IFERROR(__xludf.DUMMYFUNCTION("""COMPUTED_VALUE"""),"Cure")</f>
        <v>Cure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9" t="str">
        <f>IFERROR(__xludf.DUMMYFUNCTION("""COMPUTED_VALUE"""),"Pandan leaf, screwpine (Pandanus amaryllifolius)")</f>
        <v>Pandan leaf, screwpine (Pandanus amaryllifolius)</v>
      </c>
      <c r="B129" s="9" t="str">
        <f>IFERROR(__xludf.DUMMYFUNCTION("""COMPUTED_VALUE"""),"Stat Increase (+5 to one perk until end of battle or for 1 rp action.)")</f>
        <v>Stat Increase (+5 to one perk until end of battle or for 1 rp action.)</v>
      </c>
      <c r="C129" s="9" t="str">
        <f>IFERROR(__xludf.DUMMYFUNCTION("""COMPUTED_VALUE"""),"Uncommon")</f>
        <v>Uncommon</v>
      </c>
      <c r="D129" s="11">
        <f>IFERROR(__xludf.DUMMYFUNCTION("""COMPUTED_VALUE"""),20000.0)</f>
        <v>20000</v>
      </c>
      <c r="E129" s="4" t="str">
        <f>IFERROR(__xludf.DUMMYFUNCTION("""COMPUTED_VALUE"""),"Statin")</f>
        <v>Statin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9" t="str">
        <f>IFERROR(__xludf.DUMMYFUNCTION("""COMPUTED_VALUE"""),"Paprika (Capsicum annuum)")</f>
        <v>Paprika (Capsicum annuum)</v>
      </c>
      <c r="B130" s="9" t="str">
        <f>IFERROR(__xludf.DUMMYFUNCTION("""COMPUTED_VALUE"""),"Level Gain (+2 levels)")</f>
        <v>Level Gain (+2 levels)</v>
      </c>
      <c r="C130" s="9" t="str">
        <f>IFERROR(__xludf.DUMMYFUNCTION("""COMPUTED_VALUE"""),"Common")</f>
        <v>Common</v>
      </c>
      <c r="D130" s="11">
        <f>IFERROR(__xludf.DUMMYFUNCTION("""COMPUTED_VALUE"""),20000.0)</f>
        <v>20000</v>
      </c>
      <c r="E130" s="4" t="str">
        <f>IFERROR(__xludf.DUMMYFUNCTION("""COMPUTED_VALUE"""),"Level")</f>
        <v>Level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9" t="str">
        <f>IFERROR(__xludf.DUMMYFUNCTION("""COMPUTED_VALUE"""),"Paracress (Acmella oleracea) (Brazil)")</f>
        <v>Paracress (Acmella oleracea) (Brazil)</v>
      </c>
      <c r="B131" s="9" t="str">
        <f>IFERROR(__xludf.DUMMYFUNCTION("""COMPUTED_VALUE"""),"Stat Increase (+5 to one perk until end of battle or for 1 rp action.)")</f>
        <v>Stat Increase (+5 to one perk until end of battle or for 1 rp action.)</v>
      </c>
      <c r="C131" s="9" t="str">
        <f>IFERROR(__xludf.DUMMYFUNCTION("""COMPUTED_VALUE"""),"Mythic")</f>
        <v>Mythic</v>
      </c>
      <c r="D131" s="11">
        <f>IFERROR(__xludf.DUMMYFUNCTION("""COMPUTED_VALUE"""),20000.0)</f>
        <v>20000</v>
      </c>
      <c r="E131" s="4" t="str">
        <f>IFERROR(__xludf.DUMMYFUNCTION("""COMPUTED_VALUE"""),"Statin")</f>
        <v>Statin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9" t="str">
        <f>IFERROR(__xludf.DUMMYFUNCTION("""COMPUTED_VALUE"""),"Parsley (Petroselinum crispum)")</f>
        <v>Parsley (Petroselinum crispum)</v>
      </c>
      <c r="B132" s="9" t="str">
        <f>IFERROR(__xludf.DUMMYFUNCTION("""COMPUTED_VALUE"""),"Stat Increase (+5 to one perk until end of battle or for 1 rp action.)")</f>
        <v>Stat Increase (+5 to one perk until end of battle or for 1 rp action.)</v>
      </c>
      <c r="C132" s="9" t="str">
        <f>IFERROR(__xludf.DUMMYFUNCTION("""COMPUTED_VALUE"""),"Common")</f>
        <v>Common</v>
      </c>
      <c r="D132" s="11">
        <f>IFERROR(__xludf.DUMMYFUNCTION("""COMPUTED_VALUE"""),20000.0)</f>
        <v>20000</v>
      </c>
      <c r="E132" s="4" t="str">
        <f>IFERROR(__xludf.DUMMYFUNCTION("""COMPUTED_VALUE"""),"Statin")</f>
        <v>Statin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9" t="str">
        <f>IFERROR(__xludf.DUMMYFUNCTION("""COMPUTED_VALUE"""),"Pennyroyal")</f>
        <v>Pennyroyal</v>
      </c>
      <c r="B133" s="9" t="str">
        <f>IFERROR(__xludf.DUMMYFUNCTION("""COMPUTED_VALUE"""),"Stat Increase (+5 to one perk until end of battle or for 1 rp action.)")</f>
        <v>Stat Increase (+5 to one perk until end of battle or for 1 rp action.)</v>
      </c>
      <c r="C133" s="9" t="str">
        <f>IFERROR(__xludf.DUMMYFUNCTION("""COMPUTED_VALUE"""),"Legendary")</f>
        <v>Legendary</v>
      </c>
      <c r="D133" s="11">
        <f>IFERROR(__xludf.DUMMYFUNCTION("""COMPUTED_VALUE"""),20000.0)</f>
        <v>20000</v>
      </c>
      <c r="E133" s="4" t="str">
        <f>IFERROR(__xludf.DUMMYFUNCTION("""COMPUTED_VALUE"""),"StatIn")</f>
        <v>StatIn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9" t="str">
        <f>IFERROR(__xludf.DUMMYFUNCTION("""COMPUTED_VALUE"""),"Pepper, black, white, and green (Piper nigrum)")</f>
        <v>Pepper, black, white, and green (Piper nigrum)</v>
      </c>
      <c r="B134" s="9" t="str">
        <f>IFERROR(__xludf.DUMMYFUNCTION("""COMPUTED_VALUE"""),"Stat Increase (+5 to one perk until end of battle or for 1 rp action.)")</f>
        <v>Stat Increase (+5 to one perk until end of battle or for 1 rp action.)</v>
      </c>
      <c r="C134" s="9" t="str">
        <f>IFERROR(__xludf.DUMMYFUNCTION("""COMPUTED_VALUE"""),"Common")</f>
        <v>Common</v>
      </c>
      <c r="D134" s="11">
        <f>IFERROR(__xludf.DUMMYFUNCTION("""COMPUTED_VALUE"""),20000.0)</f>
        <v>20000</v>
      </c>
      <c r="E134" s="4" t="str">
        <f>IFERROR(__xludf.DUMMYFUNCTION("""COMPUTED_VALUE"""),"Thirst")</f>
        <v>Thirst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9" t="str">
        <f>IFERROR(__xludf.DUMMYFUNCTION("""COMPUTED_VALUE"""),"Pepper, Brazilian, or pink pepper (Schinus terebinthifolius)")</f>
        <v>Pepper, Brazilian, or pink pepper (Schinus terebinthifolius)</v>
      </c>
      <c r="B135" s="9" t="str">
        <f>IFERROR(__xludf.DUMMYFUNCTION("""COMPUTED_VALUE"""),"Stat Increase (+5 to one perk until end of battle or for 1 rp action.)")</f>
        <v>Stat Increase (+5 to one perk until end of battle or for 1 rp action.)</v>
      </c>
      <c r="C135" s="9" t="str">
        <f>IFERROR(__xludf.DUMMYFUNCTION("""COMPUTED_VALUE"""),"Common")</f>
        <v>Common</v>
      </c>
      <c r="D135" s="11">
        <f>IFERROR(__xludf.DUMMYFUNCTION("""COMPUTED_VALUE"""),20000.0)</f>
        <v>20000</v>
      </c>
      <c r="E135" s="4" t="str">
        <f>IFERROR(__xludf.DUMMYFUNCTION("""COMPUTED_VALUE"""),"Statin")</f>
        <v>Statin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9" t="str">
        <f>IFERROR(__xludf.DUMMYFUNCTION("""COMPUTED_VALUE"""),"Pepper, Dorrigo (Tasmannia stipitata) (Australia)")</f>
        <v>Pepper, Dorrigo (Tasmannia stipitata) (Australia)</v>
      </c>
      <c r="B136" s="9" t="str">
        <f>IFERROR(__xludf.DUMMYFUNCTION("""COMPUTED_VALUE"""),"Stat Increase (+5 to one perk until end of battle or for 1 rp action.)")</f>
        <v>Stat Increase (+5 to one perk until end of battle or for 1 rp action.)</v>
      </c>
      <c r="C136" s="9" t="str">
        <f>IFERROR(__xludf.DUMMYFUNCTION("""COMPUTED_VALUE"""),"Common")</f>
        <v>Common</v>
      </c>
      <c r="D136" s="11">
        <f>IFERROR(__xludf.DUMMYFUNCTION("""COMPUTED_VALUE"""),20000.0)</f>
        <v>20000</v>
      </c>
      <c r="E136" s="4" t="str">
        <f>IFERROR(__xludf.DUMMYFUNCTION("""COMPUTED_VALUE"""),"Statin")</f>
        <v>Statin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9" t="str">
        <f>IFERROR(__xludf.DUMMYFUNCTION("""COMPUTED_VALUE"""),"Pepper, long (Piper longum)")</f>
        <v>Pepper, long (Piper longum)</v>
      </c>
      <c r="B137" s="9" t="str">
        <f>IFERROR(__xludf.DUMMYFUNCTION("""COMPUTED_VALUE"""),"Level Gain (+2 levels)")</f>
        <v>Level Gain (+2 levels)</v>
      </c>
      <c r="C137" s="9" t="str">
        <f>IFERROR(__xludf.DUMMYFUNCTION("""COMPUTED_VALUE"""),"Common")</f>
        <v>Common</v>
      </c>
      <c r="D137" s="11">
        <f>IFERROR(__xludf.DUMMYFUNCTION("""COMPUTED_VALUE"""),20000.0)</f>
        <v>20000</v>
      </c>
      <c r="E137" s="4" t="str">
        <f>IFERROR(__xludf.DUMMYFUNCTION("""COMPUTED_VALUE"""),"Level")</f>
        <v>Level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9" t="str">
        <f>IFERROR(__xludf.DUMMYFUNCTION("""COMPUTED_VALUE"""),"Pepper, mountain, Cornish pepper leaf (Tasmannia lanceolata)")</f>
        <v>Pepper, mountain, Cornish pepper leaf (Tasmannia lanceolata)</v>
      </c>
      <c r="B138" s="9" t="str">
        <f>IFERROR(__xludf.DUMMYFUNCTION("""COMPUTED_VALUE"""),"Level Gain (+2 levels)")</f>
        <v>Level Gain (+2 levels)</v>
      </c>
      <c r="C138" s="9" t="str">
        <f>IFERROR(__xludf.DUMMYFUNCTION("""COMPUTED_VALUE"""),"Common")</f>
        <v>Common</v>
      </c>
      <c r="D138" s="11">
        <f>IFERROR(__xludf.DUMMYFUNCTION("""COMPUTED_VALUE"""),20000.0)</f>
        <v>20000</v>
      </c>
      <c r="E138" s="4" t="str">
        <f>IFERROR(__xludf.DUMMYFUNCTION("""COMPUTED_VALUE"""),"Level")</f>
        <v>Level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9" t="str">
        <f>IFERROR(__xludf.DUMMYFUNCTION("""COMPUTED_VALUE"""),"Peppermint (Mentha piperata)")</f>
        <v>Peppermint (Mentha piperata)</v>
      </c>
      <c r="B139" s="9" t="str">
        <f>IFERROR(__xludf.DUMMYFUNCTION("""COMPUTED_VALUE"""),"Banishment")</f>
        <v>Banishment</v>
      </c>
      <c r="C139" s="9" t="str">
        <f>IFERROR(__xludf.DUMMYFUNCTION("""COMPUTED_VALUE"""),"Ultra Rare")</f>
        <v>Ultra Rare</v>
      </c>
      <c r="D139" s="11">
        <f>IFERROR(__xludf.DUMMYFUNCTION("""COMPUTED_VALUE"""),20000.0)</f>
        <v>20000</v>
      </c>
      <c r="E139" s="4" t="str">
        <f>IFERROR(__xludf.DUMMYFUNCTION("""COMPUTED_VALUE"""),"Banishment")</f>
        <v>Banishment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9" t="str">
        <f>IFERROR(__xludf.DUMMYFUNCTION("""COMPUTED_VALUE"""),"Peppermint gum leaf (Eucalyptus dives)")</f>
        <v>Peppermint gum leaf (Eucalyptus dives)</v>
      </c>
      <c r="B140" s="9" t="str">
        <f>IFERROR(__xludf.DUMMYFUNCTION("""COMPUTED_VALUE"""),"Instant Death")</f>
        <v>Instant Death</v>
      </c>
      <c r="C140" s="9" t="str">
        <f>IFERROR(__xludf.DUMMYFUNCTION("""COMPUTED_VALUE"""),"Ultra Rare")</f>
        <v>Ultra Rare</v>
      </c>
      <c r="D140" s="11">
        <f>IFERROR(__xludf.DUMMYFUNCTION("""COMPUTED_VALUE"""),20000.0)</f>
        <v>20000</v>
      </c>
      <c r="E140" s="4" t="str">
        <f>IFERROR(__xludf.DUMMYFUNCTION("""COMPUTED_VALUE"""),"InstaDeath")</f>
        <v>InstaDeath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9" t="str">
        <f>IFERROR(__xludf.DUMMYFUNCTION("""COMPUTED_VALUE"""),"Perilla
Deulkkae (Perilla frutescens seeds)
Kkaennip (Perilla frutescens leaves)
Shiso (Perilla frutescens var. crispa leaves)")</f>
        <v>Perilla
Deulkkae (Perilla frutescens seeds)
Kkaennip (Perilla frutescens leaves)
Shiso (Perilla frutescens var. crispa leaves)</v>
      </c>
      <c r="B141" s="9" t="str">
        <f>IFERROR(__xludf.DUMMYFUNCTION("""COMPUTED_VALUE"""),"Stat Increase (+5 to one perk until end of battle or for 1 rp action.)")</f>
        <v>Stat Increase (+5 to one perk until end of battle or for 1 rp action.)</v>
      </c>
      <c r="C141" s="9" t="str">
        <f>IFERROR(__xludf.DUMMYFUNCTION("""COMPUTED_VALUE"""),"Mythic")</f>
        <v>Mythic</v>
      </c>
      <c r="D141" s="11">
        <f>IFERROR(__xludf.DUMMYFUNCTION("""COMPUTED_VALUE"""),20000.0)</f>
        <v>20000</v>
      </c>
      <c r="E141" s="4" t="str">
        <f>IFERROR(__xludf.DUMMYFUNCTION("""COMPUTED_VALUE"""),"StatIn")</f>
        <v>StatIn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9" t="str">
        <f>IFERROR(__xludf.DUMMYFUNCTION("""COMPUTED_VALUE"""),"Peruvian pepper (Schinus molle)")</f>
        <v>Peruvian pepper (Schinus molle)</v>
      </c>
      <c r="B142" s="9" t="str">
        <f>IFERROR(__xludf.DUMMYFUNCTION("""COMPUTED_VALUE"""),"Stat Increase (+5 to one perk until end of battle or for 1 rp action.)")</f>
        <v>Stat Increase (+5 to one perk until end of battle or for 1 rp action.)</v>
      </c>
      <c r="C142" s="9" t="str">
        <f>IFERROR(__xludf.DUMMYFUNCTION("""COMPUTED_VALUE"""),"Legendary")</f>
        <v>Legendary</v>
      </c>
      <c r="D142" s="11">
        <f>IFERROR(__xludf.DUMMYFUNCTION("""COMPUTED_VALUE"""),20000.0)</f>
        <v>20000</v>
      </c>
      <c r="E142" s="4" t="str">
        <f>IFERROR(__xludf.DUMMYFUNCTION("""COMPUTED_VALUE"""),"StatIn")</f>
        <v>StatIn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9" t="str">
        <f>IFERROR(__xludf.DUMMYFUNCTION("""COMPUTED_VALUE"""),"Poppy seed (Papaver somniferum)")</f>
        <v>Poppy seed (Papaver somniferum)</v>
      </c>
      <c r="B143" s="9" t="str">
        <f>IFERROR(__xludf.DUMMYFUNCTION("""COMPUTED_VALUE"""),"Curse Antidote")</f>
        <v>Curse Antidote</v>
      </c>
      <c r="C143" s="9" t="str">
        <f>IFERROR(__xludf.DUMMYFUNCTION("""COMPUTED_VALUE"""),"Rare")</f>
        <v>Rare</v>
      </c>
      <c r="D143" s="11">
        <f>IFERROR(__xludf.DUMMYFUNCTION("""COMPUTED_VALUE"""),20000.0)</f>
        <v>20000</v>
      </c>
      <c r="E143" s="4" t="str">
        <f>IFERROR(__xludf.DUMMYFUNCTION("""COMPUTED_VALUE"""),"Cure")</f>
        <v>Cure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9" t="str">
        <f>IFERROR(__xludf.DUMMYFUNCTION("""COMPUTED_VALUE"""),"Purslane")</f>
        <v>Purslane</v>
      </c>
      <c r="B144" s="9" t="str">
        <f>IFERROR(__xludf.DUMMYFUNCTION("""COMPUTED_VALUE"""),"Turn Order (+2)")</f>
        <v>Turn Order (+2)</v>
      </c>
      <c r="C144" s="9" t="str">
        <f>IFERROR(__xludf.DUMMYFUNCTION("""COMPUTED_VALUE"""),"Uncommon")</f>
        <v>Uncommon</v>
      </c>
      <c r="D144" s="11">
        <f>IFERROR(__xludf.DUMMYFUNCTION("""COMPUTED_VALUE"""),20000.0)</f>
        <v>20000</v>
      </c>
      <c r="E144" s="4" t="str">
        <f>IFERROR(__xludf.DUMMYFUNCTION("""COMPUTED_VALUE"""),"TurnOrder")</f>
        <v>TurnOrder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9" t="str">
        <f>IFERROR(__xludf.DUMMYFUNCTION("""COMPUTED_VALUE"""),"Quassia (Quassia amara), bitter spice in aperitifs and some beers and fortified wines")</f>
        <v>Quassia (Quassia amara), bitter spice in aperitifs and some beers and fortified wines</v>
      </c>
      <c r="B145" s="9" t="str">
        <f>IFERROR(__xludf.DUMMYFUNCTION("""COMPUTED_VALUE"""),"Stat Increase (+5 to one perk until end of battle or for 1 rp action.)")</f>
        <v>Stat Increase (+5 to one perk until end of battle or for 1 rp action.)</v>
      </c>
      <c r="C145" s="9" t="str">
        <f>IFERROR(__xludf.DUMMYFUNCTION("""COMPUTED_VALUE"""),"Mythic")</f>
        <v>Mythic</v>
      </c>
      <c r="D145" s="11">
        <f>IFERROR(__xludf.DUMMYFUNCTION("""COMPUTED_VALUE"""),20000.0)</f>
        <v>20000</v>
      </c>
      <c r="E145" s="4" t="str">
        <f>IFERROR(__xludf.DUMMYFUNCTION("""COMPUTED_VALUE"""),"Statin")</f>
        <v>Statin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9" t="str">
        <f>IFERROR(__xludf.DUMMYFUNCTION("""COMPUTED_VALUE"""),"Rice paddy herb (Limnophila aromatica) (Vietnam)")</f>
        <v>Rice paddy herb (Limnophila aromatica) (Vietnam)</v>
      </c>
      <c r="B146" s="9" t="str">
        <f>IFERROR(__xludf.DUMMYFUNCTION("""COMPUTED_VALUE"""),"Restore 100SP")</f>
        <v>Restore 100SP</v>
      </c>
      <c r="C146" s="9" t="str">
        <f>IFERROR(__xludf.DUMMYFUNCTION("""COMPUTED_VALUE"""),"Legendary")</f>
        <v>Legendary</v>
      </c>
      <c r="D146" s="11">
        <f>IFERROR(__xludf.DUMMYFUNCTION("""COMPUTED_VALUE"""),20000.0)</f>
        <v>20000</v>
      </c>
      <c r="E146" s="4" t="str">
        <f>IFERROR(__xludf.DUMMYFUNCTION("""COMPUTED_VALUE"""),"Restore")</f>
        <v>Restore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9" t="str">
        <f>IFERROR(__xludf.DUMMYFUNCTION("""COMPUTED_VALUE"""),"Rosemary (Rosmarinus officinalis)")</f>
        <v>Rosemary (Rosmarinus officinalis)</v>
      </c>
      <c r="B147" s="9" t="str">
        <f>IFERROR(__xludf.DUMMYFUNCTION("""COMPUTED_VALUE"""),"Instant Death")</f>
        <v>Instant Death</v>
      </c>
      <c r="C147" s="9" t="str">
        <f>IFERROR(__xludf.DUMMYFUNCTION("""COMPUTED_VALUE"""),"Ultra Rare")</f>
        <v>Ultra Rare</v>
      </c>
      <c r="D147" s="11">
        <f>IFERROR(__xludf.DUMMYFUNCTION("""COMPUTED_VALUE"""),20000.0)</f>
        <v>20000</v>
      </c>
      <c r="E147" s="4" t="str">
        <f>IFERROR(__xludf.DUMMYFUNCTION("""COMPUTED_VALUE"""),"InstaDeath")</f>
        <v>InstaDeath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9" t="str">
        <f>IFERROR(__xludf.DUMMYFUNCTION("""COMPUTED_VALUE"""),"Rue (Ruta graveolens)")</f>
        <v>Rue (Ruta graveolens)</v>
      </c>
      <c r="B148" s="9" t="str">
        <f>IFERROR(__xludf.DUMMYFUNCTION("""COMPUTED_VALUE"""),"Disease Antidote")</f>
        <v>Disease Antidote</v>
      </c>
      <c r="C148" s="9" t="str">
        <f>IFERROR(__xludf.DUMMYFUNCTION("""COMPUTED_VALUE"""),"Rare")</f>
        <v>Rare</v>
      </c>
      <c r="D148" s="11">
        <f>IFERROR(__xludf.DUMMYFUNCTION("""COMPUTED_VALUE"""),20000.0)</f>
        <v>20000</v>
      </c>
      <c r="E148" s="4" t="str">
        <f>IFERROR(__xludf.DUMMYFUNCTION("""COMPUTED_VALUE"""),"Cure")</f>
        <v>Cure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9" t="str">
        <f>IFERROR(__xludf.DUMMYFUNCTION("""COMPUTED_VALUE"""),"Safflower (Carthamus tinctorius), only for yellow color")</f>
        <v>Safflower (Carthamus tinctorius), only for yellow color</v>
      </c>
      <c r="B149" s="9" t="str">
        <f>IFERROR(__xludf.DUMMYFUNCTION("""COMPUTED_VALUE"""),"Curse Antidote")</f>
        <v>Curse Antidote</v>
      </c>
      <c r="C149" s="9" t="str">
        <f>IFERROR(__xludf.DUMMYFUNCTION("""COMPUTED_VALUE"""),"Common")</f>
        <v>Common</v>
      </c>
      <c r="D149" s="11">
        <f>IFERROR(__xludf.DUMMYFUNCTION("""COMPUTED_VALUE"""),20000.0)</f>
        <v>20000</v>
      </c>
      <c r="E149" s="4" t="str">
        <f>IFERROR(__xludf.DUMMYFUNCTION("""COMPUTED_VALUE"""),"Cure")</f>
        <v>Cure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9" t="str">
        <f>IFERROR(__xludf.DUMMYFUNCTION("""COMPUTED_VALUE"""),"Saffron (Crocus sativus)
use of saffron")</f>
        <v>Saffron (Crocus sativus)
use of saffron</v>
      </c>
      <c r="B150" s="9" t="str">
        <f>IFERROR(__xludf.DUMMYFUNCTION("""COMPUTED_VALUE"""),"Stat Increase (+5 to one perk until end of battle or for 1 rp action.)")</f>
        <v>Stat Increase (+5 to one perk until end of battle or for 1 rp action.)</v>
      </c>
      <c r="C150" s="9" t="str">
        <f>IFERROR(__xludf.DUMMYFUNCTION("""COMPUTED_VALUE"""),"Mythic")</f>
        <v>Mythic</v>
      </c>
      <c r="D150" s="11">
        <f>IFERROR(__xludf.DUMMYFUNCTION("""COMPUTED_VALUE"""),20000.0)</f>
        <v>20000</v>
      </c>
      <c r="E150" s="4" t="str">
        <f>IFERROR(__xludf.DUMMYFUNCTION("""COMPUTED_VALUE"""),"Statin")</f>
        <v>Statin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9" t="str">
        <f>IFERROR(__xludf.DUMMYFUNCTION("""COMPUTED_VALUE"""),"Sage (Salvia officinalis)")</f>
        <v>Sage (Salvia officinalis)</v>
      </c>
      <c r="B151" s="9" t="str">
        <f>IFERROR(__xludf.DUMMYFUNCTION("""COMPUTED_VALUE"""),"Instant Death")</f>
        <v>Instant Death</v>
      </c>
      <c r="C151" s="9" t="str">
        <f>IFERROR(__xludf.DUMMYFUNCTION("""COMPUTED_VALUE"""),"Ultra Rare")</f>
        <v>Ultra Rare</v>
      </c>
      <c r="D151" s="11">
        <f>IFERROR(__xludf.DUMMYFUNCTION("""COMPUTED_VALUE"""),20000.0)</f>
        <v>20000</v>
      </c>
      <c r="E151" s="4" t="str">
        <f>IFERROR(__xludf.DUMMYFUNCTION("""COMPUTED_VALUE"""),"InstaDeath")</f>
        <v>InstaDeath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9" t="str">
        <f>IFERROR(__xludf.DUMMYFUNCTION("""COMPUTED_VALUE"""),"Salad burnet (Sanguisorba minor)")</f>
        <v>Salad burnet (Sanguisorba minor)</v>
      </c>
      <c r="B152" s="9" t="str">
        <f>IFERROR(__xludf.DUMMYFUNCTION("""COMPUTED_VALUE"""),"Stat Increase (+5 to one perk until end of battle or for 1 rp action.)")</f>
        <v>Stat Increase (+5 to one perk until end of battle or for 1 rp action.)</v>
      </c>
      <c r="C152" s="9" t="str">
        <f>IFERROR(__xludf.DUMMYFUNCTION("""COMPUTED_VALUE"""),"Common")</f>
        <v>Common</v>
      </c>
      <c r="D152" s="11">
        <f>IFERROR(__xludf.DUMMYFUNCTION("""COMPUTED_VALUE"""),20000.0)</f>
        <v>20000</v>
      </c>
      <c r="E152" s="4" t="str">
        <f>IFERROR(__xludf.DUMMYFUNCTION("""COMPUTED_VALUE"""),"Statin")</f>
        <v>Statin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9" t="str">
        <f>IFERROR(__xludf.DUMMYFUNCTION("""COMPUTED_VALUE"""),"Salep (Orchis mascula)")</f>
        <v>Salep (Orchis mascula)</v>
      </c>
      <c r="B153" s="9" t="str">
        <f>IFERROR(__xludf.DUMMYFUNCTION("""COMPUTED_VALUE"""),"Disease Antidote")</f>
        <v>Disease Antidote</v>
      </c>
      <c r="C153" s="9" t="str">
        <f>IFERROR(__xludf.DUMMYFUNCTION("""COMPUTED_VALUE"""),"Uncommon")</f>
        <v>Uncommon</v>
      </c>
      <c r="D153" s="11">
        <f>IFERROR(__xludf.DUMMYFUNCTION("""COMPUTED_VALUE"""),20000.0)</f>
        <v>20000</v>
      </c>
      <c r="E153" s="4" t="str">
        <f>IFERROR(__xludf.DUMMYFUNCTION("""COMPUTED_VALUE"""),"Cure")</f>
        <v>Cure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9" t="str">
        <f>IFERROR(__xludf.DUMMYFUNCTION("""COMPUTED_VALUE"""),"Sassafras (Sassafras albidum)")</f>
        <v>Sassafras (Sassafras albidum)</v>
      </c>
      <c r="B154" s="9" t="str">
        <f>IFERROR(__xludf.DUMMYFUNCTION("""COMPUTED_VALUE"""),"Curse Antidote")</f>
        <v>Curse Antidote</v>
      </c>
      <c r="C154" s="9" t="str">
        <f>IFERROR(__xludf.DUMMYFUNCTION("""COMPUTED_VALUE"""),"Uncommon")</f>
        <v>Uncommon</v>
      </c>
      <c r="D154" s="11">
        <f>IFERROR(__xludf.DUMMYFUNCTION("""COMPUTED_VALUE"""),20000.0)</f>
        <v>20000</v>
      </c>
      <c r="E154" s="4" t="str">
        <f>IFERROR(__xludf.DUMMYFUNCTION("""COMPUTED_VALUE"""),"DMG")</f>
        <v>DMG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9" t="str">
        <f>IFERROR(__xludf.DUMMYFUNCTION("""COMPUTED_VALUE"""),"Sesame Seed, Black Sesame Seed")</f>
        <v>Sesame Seed, Black Sesame Seed</v>
      </c>
      <c r="B155" s="9" t="str">
        <f>IFERROR(__xludf.DUMMYFUNCTION("""COMPUTED_VALUE"""),"Stat Increase (+5 to one perk until end of battle or for 1 rp action.)")</f>
        <v>Stat Increase (+5 to one perk until end of battle or for 1 rp action.)</v>
      </c>
      <c r="C155" s="9" t="str">
        <f>IFERROR(__xludf.DUMMYFUNCTION("""COMPUTED_VALUE"""),"Common")</f>
        <v>Common</v>
      </c>
      <c r="D155" s="11">
        <f>IFERROR(__xludf.DUMMYFUNCTION("""COMPUTED_VALUE"""),20000.0)</f>
        <v>20000</v>
      </c>
      <c r="E155" s="4" t="str">
        <f>IFERROR(__xludf.DUMMYFUNCTION("""COMPUTED_VALUE"""),"StatIn")</f>
        <v>StatIn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9" t="str">
        <f>IFERROR(__xludf.DUMMYFUNCTION("""COMPUTED_VALUE"""),"Savory, summer (Satureja hortensis)")</f>
        <v>Savory, summer (Satureja hortensis)</v>
      </c>
      <c r="B156" s="9" t="str">
        <f>IFERROR(__xludf.DUMMYFUNCTION("""COMPUTED_VALUE"""),"Stat Increase (+5 to one perk until end of battle or for 1 rp action.)")</f>
        <v>Stat Increase (+5 to one perk until end of battle or for 1 rp action.)</v>
      </c>
      <c r="C156" s="9" t="str">
        <f>IFERROR(__xludf.DUMMYFUNCTION("""COMPUTED_VALUE"""),"Mythic")</f>
        <v>Mythic</v>
      </c>
      <c r="D156" s="11">
        <f>IFERROR(__xludf.DUMMYFUNCTION("""COMPUTED_VALUE"""),20000.0)</f>
        <v>20000</v>
      </c>
      <c r="E156" s="4" t="str">
        <f>IFERROR(__xludf.DUMMYFUNCTION("""COMPUTED_VALUE"""),"StatIn")</f>
        <v>StatIn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9" t="str">
        <f>IFERROR(__xludf.DUMMYFUNCTION("""COMPUTED_VALUE"""),"Savory, winter (Satureja montana)")</f>
        <v>Savory, winter (Satureja montana)</v>
      </c>
      <c r="B157" s="9" t="str">
        <f>IFERROR(__xludf.DUMMYFUNCTION("""COMPUTED_VALUE"""),"Restore 100HP")</f>
        <v>Restore 100HP</v>
      </c>
      <c r="C157" s="9" t="str">
        <f>IFERROR(__xludf.DUMMYFUNCTION("""COMPUTED_VALUE"""),"Legendary")</f>
        <v>Legendary</v>
      </c>
      <c r="D157" s="11">
        <f>IFERROR(__xludf.DUMMYFUNCTION("""COMPUTED_VALUE"""),20000.0)</f>
        <v>20000</v>
      </c>
      <c r="E157" s="4" t="str">
        <f>IFERROR(__xludf.DUMMYFUNCTION("""COMPUTED_VALUE"""),"Restore")</f>
        <v>Restore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9" t="str">
        <f>IFERROR(__xludf.DUMMYFUNCTION("""COMPUTED_VALUE"""),"Shiso (Perilla frutescens)")</f>
        <v>Shiso (Perilla frutescens)</v>
      </c>
      <c r="B158" s="9" t="str">
        <f>IFERROR(__xludf.DUMMYFUNCTION("""COMPUTED_VALUE"""),"Turn Order (Everyone rerolls)")</f>
        <v>Turn Order (Everyone rerolls)</v>
      </c>
      <c r="C158" s="9" t="str">
        <f>IFERROR(__xludf.DUMMYFUNCTION("""COMPUTED_VALUE"""),"Uncommon")</f>
        <v>Uncommon</v>
      </c>
      <c r="D158" s="11">
        <f>IFERROR(__xludf.DUMMYFUNCTION("""COMPUTED_VALUE"""),20000.0)</f>
        <v>20000</v>
      </c>
      <c r="E158" s="4" t="str">
        <f>IFERROR(__xludf.DUMMYFUNCTION("""COMPUTED_VALUE"""),"TurnOrder")</f>
        <v>TurnOrder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9" t="str">
        <f>IFERROR(__xludf.DUMMYFUNCTION("""COMPUTED_VALUE"""),"Silphium, silphion, laser, laserpicium, sorado")</f>
        <v>Silphium, silphion, laser, laserpicium, sorado</v>
      </c>
      <c r="B159" s="9" t="str">
        <f>IFERROR(__xludf.DUMMYFUNCTION("""COMPUTED_VALUE"""),"Level Gain (+2 level)")</f>
        <v>Level Gain (+2 level)</v>
      </c>
      <c r="C159" s="9" t="str">
        <f>IFERROR(__xludf.DUMMYFUNCTION("""COMPUTED_VALUE"""),"Common")</f>
        <v>Common</v>
      </c>
      <c r="D159" s="11">
        <f>IFERROR(__xludf.DUMMYFUNCTION("""COMPUTED_VALUE"""),20000.0)</f>
        <v>20000</v>
      </c>
      <c r="E159" s="4" t="str">
        <f>IFERROR(__xludf.DUMMYFUNCTION("""COMPUTED_VALUE"""),"Level")</f>
        <v>Level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9" t="str">
        <f>IFERROR(__xludf.DUMMYFUNCTION("""COMPUTED_VALUE"""),"Sorrel (Rumex acetosa)")</f>
        <v>Sorrel (Rumex acetosa)</v>
      </c>
      <c r="B160" s="9" t="str">
        <f>IFERROR(__xludf.DUMMYFUNCTION("""COMPUTED_VALUE"""),"Level Gain (+2 levels)")</f>
        <v>Level Gain (+2 levels)</v>
      </c>
      <c r="C160" s="9" t="str">
        <f>IFERROR(__xludf.DUMMYFUNCTION("""COMPUTED_VALUE"""),"Mythic")</f>
        <v>Mythic</v>
      </c>
      <c r="D160" s="11">
        <f>IFERROR(__xludf.DUMMYFUNCTION("""COMPUTED_VALUE"""),20000.0)</f>
        <v>20000</v>
      </c>
      <c r="E160" s="4" t="str">
        <f>IFERROR(__xludf.DUMMYFUNCTION("""COMPUTED_VALUE"""),"Level")</f>
        <v>Level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9" t="str">
        <f>IFERROR(__xludf.DUMMYFUNCTION("""COMPUTED_VALUE"""),"Sorrel, sheep (Rumex acetosella)")</f>
        <v>Sorrel, sheep (Rumex acetosella)</v>
      </c>
      <c r="B161" s="9" t="str">
        <f>IFERROR(__xludf.DUMMYFUNCTION("""COMPUTED_VALUE"""),"Level Gain (+2 levels)")</f>
        <v>Level Gain (+2 levels)</v>
      </c>
      <c r="C161" s="9" t="str">
        <f>IFERROR(__xludf.DUMMYFUNCTION("""COMPUTED_VALUE"""),"Mythic")</f>
        <v>Mythic</v>
      </c>
      <c r="D161" s="11">
        <f>IFERROR(__xludf.DUMMYFUNCTION("""COMPUTED_VALUE"""),20000.0)</f>
        <v>20000</v>
      </c>
      <c r="E161" s="4" t="str">
        <f>IFERROR(__xludf.DUMMYFUNCTION("""COMPUTED_VALUE"""),"Level")</f>
        <v>Level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9" t="str">
        <f>IFERROR(__xludf.DUMMYFUNCTION("""COMPUTED_VALUE"""),"Spearmint (Mentha spicata)")</f>
        <v>Spearmint (Mentha spicata)</v>
      </c>
      <c r="B162" s="9" t="str">
        <f>IFERROR(__xludf.DUMMYFUNCTION("""COMPUTED_VALUE"""),"Disease Antidote")</f>
        <v>Disease Antidote</v>
      </c>
      <c r="C162" s="9" t="str">
        <f>IFERROR(__xludf.DUMMYFUNCTION("""COMPUTED_VALUE"""),"Rare")</f>
        <v>Rare</v>
      </c>
      <c r="D162" s="11">
        <f>IFERROR(__xludf.DUMMYFUNCTION("""COMPUTED_VALUE"""),20000.0)</f>
        <v>20000</v>
      </c>
      <c r="E162" s="4" t="str">
        <f>IFERROR(__xludf.DUMMYFUNCTION("""COMPUTED_VALUE"""),"Cure")</f>
        <v>Cure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9" t="str">
        <f>IFERROR(__xludf.DUMMYFUNCTION("""COMPUTED_VALUE"""),"Spikenard (Nardostachys grandiflora or N. jatamansi)")</f>
        <v>Spikenard (Nardostachys grandiflora or N. jatamansi)</v>
      </c>
      <c r="B163" s="9" t="str">
        <f>IFERROR(__xludf.DUMMYFUNCTION("""COMPUTED_VALUE"""),"Level Gain (+2 level)")</f>
        <v>Level Gain (+2 level)</v>
      </c>
      <c r="C163" s="9" t="str">
        <f>IFERROR(__xludf.DUMMYFUNCTION("""COMPUTED_VALUE"""),"Legendary")</f>
        <v>Legendary</v>
      </c>
      <c r="D163" s="11">
        <f>IFERROR(__xludf.DUMMYFUNCTION("""COMPUTED_VALUE"""),20000.0)</f>
        <v>20000</v>
      </c>
      <c r="E163" s="4" t="str">
        <f>IFERROR(__xludf.DUMMYFUNCTION("""COMPUTED_VALUE"""),"Level")</f>
        <v>Level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9" t="str">
        <f>IFERROR(__xludf.DUMMYFUNCTION("""COMPUTED_VALUE"""),"Star anise (Illicium verum)")</f>
        <v>Star anise (Illicium verum)</v>
      </c>
      <c r="B164" s="9" t="str">
        <f>IFERROR(__xludf.DUMMYFUNCTION("""COMPUTED_VALUE"""),"Instant Death")</f>
        <v>Instant Death</v>
      </c>
      <c r="C164" s="9" t="str">
        <f>IFERROR(__xludf.DUMMYFUNCTION("""COMPUTED_VALUE"""),"Ultra Rare")</f>
        <v>Ultra Rare</v>
      </c>
      <c r="D164" s="11">
        <f>IFERROR(__xludf.DUMMYFUNCTION("""COMPUTED_VALUE"""),20000.0)</f>
        <v>20000</v>
      </c>
      <c r="E164" s="4" t="str">
        <f>IFERROR(__xludf.DUMMYFUNCTION("""COMPUTED_VALUE"""),"InstaDeath")</f>
        <v>InstaDeath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9" t="str">
        <f>IFERROR(__xludf.DUMMYFUNCTION("""COMPUTED_VALUE"""),"Sumac (Rhus coriaria)")</f>
        <v>Sumac (Rhus coriaria)</v>
      </c>
      <c r="B165" s="9" t="str">
        <f>IFERROR(__xludf.DUMMYFUNCTION("""COMPUTED_VALUE"""),"Restore 100SP")</f>
        <v>Restore 100SP</v>
      </c>
      <c r="C165" s="9" t="str">
        <f>IFERROR(__xludf.DUMMYFUNCTION("""COMPUTED_VALUE"""),"Uncommon")</f>
        <v>Uncommon</v>
      </c>
      <c r="D165" s="11">
        <f>IFERROR(__xludf.DUMMYFUNCTION("""COMPUTED_VALUE"""),20000.0)</f>
        <v>20000</v>
      </c>
      <c r="E165" s="4" t="str">
        <f>IFERROR(__xludf.DUMMYFUNCTION("""COMPUTED_VALUE"""),"Restore")</f>
        <v>Restore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9" t="str">
        <f>IFERROR(__xludf.DUMMYFUNCTION("""COMPUTED_VALUE"""),"Sweet woodruff (Galium odoratum)")</f>
        <v>Sweet woodruff (Galium odoratum)</v>
      </c>
      <c r="B166" s="9" t="str">
        <f>IFERROR(__xludf.DUMMYFUNCTION("""COMPUTED_VALUE"""),"Restore 100HP")</f>
        <v>Restore 100HP</v>
      </c>
      <c r="C166" s="9" t="str">
        <f>IFERROR(__xludf.DUMMYFUNCTION("""COMPUTED_VALUE"""),"Mythic")</f>
        <v>Mythic</v>
      </c>
      <c r="D166" s="11">
        <f>IFERROR(__xludf.DUMMYFUNCTION("""COMPUTED_VALUE"""),20000.0)</f>
        <v>20000</v>
      </c>
      <c r="E166" s="4" t="str">
        <f>IFERROR(__xludf.DUMMYFUNCTION("""COMPUTED_VALUE"""),"Restore")</f>
        <v>Restore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9" t="str">
        <f>IFERROR(__xludf.DUMMYFUNCTION("""COMPUTED_VALUE"""),"Szechuan pepper, Sichuan pepper (Zanthoxylum piperitum)")</f>
        <v>Szechuan pepper, Sichuan pepper (Zanthoxylum piperitum)</v>
      </c>
      <c r="B167" s="9" t="str">
        <f>IFERROR(__xludf.DUMMYFUNCTION("""COMPUTED_VALUE"""),"Stat Increase (+5 to one perk until end of battle or for 1 rp action.)")</f>
        <v>Stat Increase (+5 to one perk until end of battle or for 1 rp action.)</v>
      </c>
      <c r="C167" s="9" t="str">
        <f>IFERROR(__xludf.DUMMYFUNCTION("""COMPUTED_VALUE"""),"Uncommon")</f>
        <v>Uncommon</v>
      </c>
      <c r="D167" s="11">
        <f>IFERROR(__xludf.DUMMYFUNCTION("""COMPUTED_VALUE"""),20000.0)</f>
        <v>20000</v>
      </c>
      <c r="E167" s="4" t="str">
        <f>IFERROR(__xludf.DUMMYFUNCTION("""COMPUTED_VALUE"""),"Statin")</f>
        <v>Statin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9" t="str">
        <f>IFERROR(__xludf.DUMMYFUNCTION("""COMPUTED_VALUE"""),"Vanilla (Vanilla planifolia)")</f>
        <v>Vanilla (Vanilla planifolia)</v>
      </c>
      <c r="B168" s="9" t="str">
        <f>IFERROR(__xludf.DUMMYFUNCTION("""COMPUTED_VALUE"""),"Curse Antidote")</f>
        <v>Curse Antidote</v>
      </c>
      <c r="C168" s="9" t="str">
        <f>IFERROR(__xludf.DUMMYFUNCTION("""COMPUTED_VALUE"""),"Rare")</f>
        <v>Rare</v>
      </c>
      <c r="D168" s="11">
        <f>IFERROR(__xludf.DUMMYFUNCTION("""COMPUTED_VALUE"""),20000.0)</f>
        <v>20000</v>
      </c>
      <c r="E168" s="4" t="str">
        <f>IFERROR(__xludf.DUMMYFUNCTION("""COMPUTED_VALUE"""),"Cure")</f>
        <v>Cure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9" t="str">
        <f>IFERROR(__xludf.DUMMYFUNCTION("""COMPUTED_VALUE"""),"Voatsiperifery (Piper borbonense) [Madagascar]")</f>
        <v>Voatsiperifery (Piper borbonense) [Madagascar]</v>
      </c>
      <c r="B169" s="9" t="str">
        <f>IFERROR(__xludf.DUMMYFUNCTION("""COMPUTED_VALUE"""),"Stat Increase (+5 to one perk until end of battle or for 1 rp action.)")</f>
        <v>Stat Increase (+5 to one perk until end of battle or for 1 rp action.)</v>
      </c>
      <c r="C169" s="9" t="str">
        <f>IFERROR(__xludf.DUMMYFUNCTION("""COMPUTED_VALUE"""),"Common")</f>
        <v>Common</v>
      </c>
      <c r="D169" s="11">
        <f>IFERROR(__xludf.DUMMYFUNCTION("""COMPUTED_VALUE"""),20000.0)</f>
        <v>20000</v>
      </c>
      <c r="E169" s="4" t="str">
        <f>IFERROR(__xludf.DUMMYFUNCTION("""COMPUTED_VALUE"""),"StatIn")</f>
        <v>StatIn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9" t="str">
        <f>IFERROR(__xludf.DUMMYFUNCTION("""COMPUTED_VALUE"""),"Wasabi (Wasabia japonica)")</f>
        <v>Wasabi (Wasabia japonica)</v>
      </c>
      <c r="B170" s="9" t="str">
        <f>IFERROR(__xludf.DUMMYFUNCTION("""COMPUTED_VALUE"""),"Disease Antidote")</f>
        <v>Disease Antidote</v>
      </c>
      <c r="C170" s="9" t="str">
        <f>IFERROR(__xludf.DUMMYFUNCTION("""COMPUTED_VALUE"""),"Rare")</f>
        <v>Rare</v>
      </c>
      <c r="D170" s="11">
        <f>IFERROR(__xludf.DUMMYFUNCTION("""COMPUTED_VALUE"""),20000.0)</f>
        <v>20000</v>
      </c>
      <c r="E170" s="4" t="str">
        <f>IFERROR(__xludf.DUMMYFUNCTION("""COMPUTED_VALUE"""),"Cure")</f>
        <v>Cure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9" t="str">
        <f>IFERROR(__xludf.DUMMYFUNCTION("""COMPUTED_VALUE"""),"Water-pepper, smartweed (Polygonum hydropiper)")</f>
        <v>Water-pepper, smartweed (Polygonum hydropiper)</v>
      </c>
      <c r="B171" s="9" t="str">
        <f>IFERROR(__xludf.DUMMYFUNCTION("""COMPUTED_VALUE"""),"Level Gain (+2 levels)")</f>
        <v>Level Gain (+2 levels)</v>
      </c>
      <c r="C171" s="9" t="str">
        <f>IFERROR(__xludf.DUMMYFUNCTION("""COMPUTED_VALUE"""),"Ultra Rare")</f>
        <v>Ultra Rare</v>
      </c>
      <c r="D171" s="11">
        <f>IFERROR(__xludf.DUMMYFUNCTION("""COMPUTED_VALUE"""),20000.0)</f>
        <v>20000</v>
      </c>
      <c r="E171" s="4" t="str">
        <f>IFERROR(__xludf.DUMMYFUNCTION("""COMPUTED_VALUE"""),"Level")</f>
        <v>Level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9" t="str">
        <f>IFERROR(__xludf.DUMMYFUNCTION("""COMPUTED_VALUE"""),"Watercress (Rorippa nasturtium-aquatica)")</f>
        <v>Watercress (Rorippa nasturtium-aquatica)</v>
      </c>
      <c r="B172" s="9" t="str">
        <f>IFERROR(__xludf.DUMMYFUNCTION("""COMPUTED_VALUE"""),"Restore 100SP")</f>
        <v>Restore 100SP</v>
      </c>
      <c r="C172" s="9" t="str">
        <f>IFERROR(__xludf.DUMMYFUNCTION("""COMPUTED_VALUE"""),"Mythic")</f>
        <v>Mythic</v>
      </c>
      <c r="D172" s="11">
        <f>IFERROR(__xludf.DUMMYFUNCTION("""COMPUTED_VALUE"""),20000.0)</f>
        <v>20000</v>
      </c>
      <c r="E172" s="4" t="str">
        <f>IFERROR(__xludf.DUMMYFUNCTION("""COMPUTED_VALUE"""),"Restore")</f>
        <v>Restore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9" t="str">
        <f>IFERROR(__xludf.DUMMYFUNCTION("""COMPUTED_VALUE"""),"Wattleseed (from about 120 spp. of Australian Acacia)")</f>
        <v>Wattleseed (from about 120 spp. of Australian Acacia)</v>
      </c>
      <c r="B173" s="9" t="str">
        <f>IFERROR(__xludf.DUMMYFUNCTION("""COMPUTED_VALUE"""),"Curse Antidote")</f>
        <v>Curse Antidote</v>
      </c>
      <c r="C173" s="9" t="str">
        <f>IFERROR(__xludf.DUMMYFUNCTION("""COMPUTED_VALUE"""),"Rare")</f>
        <v>Rare</v>
      </c>
      <c r="D173" s="11">
        <f>IFERROR(__xludf.DUMMYFUNCTION("""COMPUTED_VALUE"""),20000.0)</f>
        <v>20000</v>
      </c>
      <c r="E173" s="4" t="str">
        <f>IFERROR(__xludf.DUMMYFUNCTION("""COMPUTED_VALUE"""),"Cure")</f>
        <v>Cure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9" t="str">
        <f>IFERROR(__xludf.DUMMYFUNCTION("""COMPUTED_VALUE"""),"Wild thyme (Thymus serpyllum)")</f>
        <v>Wild thyme (Thymus serpyllum)</v>
      </c>
      <c r="B174" s="9" t="str">
        <f>IFERROR(__xludf.DUMMYFUNCTION("""COMPUTED_VALUE"""),"Restore 100HP")</f>
        <v>Restore 100HP</v>
      </c>
      <c r="C174" s="9" t="str">
        <f>IFERROR(__xludf.DUMMYFUNCTION("""COMPUTED_VALUE"""),"Legendary")</f>
        <v>Legendary</v>
      </c>
      <c r="D174" s="11">
        <f>IFERROR(__xludf.DUMMYFUNCTION("""COMPUTED_VALUE"""),20000.0)</f>
        <v>20000</v>
      </c>
      <c r="E174" s="4" t="str">
        <f>IFERROR(__xludf.DUMMYFUNCTION("""COMPUTED_VALUE"""),"Restore")</f>
        <v>Restore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9" t="str">
        <f>IFERROR(__xludf.DUMMYFUNCTION("""COMPUTED_VALUE"""),"Willow herb (Epilobium parviflorum)")</f>
        <v>Willow herb (Epilobium parviflorum)</v>
      </c>
      <c r="B175" s="9" t="str">
        <f>IFERROR(__xludf.DUMMYFUNCTION("""COMPUTED_VALUE"""),"Stat Increase (+5 to one perk until end of battle or for 1 rp action.)")</f>
        <v>Stat Increase (+5 to one perk until end of battle or for 1 rp action.)</v>
      </c>
      <c r="C175" s="9" t="str">
        <f>IFERROR(__xludf.DUMMYFUNCTION("""COMPUTED_VALUE"""),"Mythic")</f>
        <v>Mythic</v>
      </c>
      <c r="D175" s="11">
        <f>IFERROR(__xludf.DUMMYFUNCTION("""COMPUTED_VALUE"""),20000.0)</f>
        <v>20000</v>
      </c>
      <c r="E175" s="4" t="str">
        <f>IFERROR(__xludf.DUMMYFUNCTION("""COMPUTED_VALUE"""),"StatIn")</f>
        <v>StatIn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9" t="str">
        <f>IFERROR(__xludf.DUMMYFUNCTION("""COMPUTED_VALUE"""),"Wintergreen (Gaultheria procumbens)")</f>
        <v>Wintergreen (Gaultheria procumbens)</v>
      </c>
      <c r="B176" s="9" t="str">
        <f>IFERROR(__xludf.DUMMYFUNCTION("""COMPUTED_VALUE"""),"Disease Antidote")</f>
        <v>Disease Antidote</v>
      </c>
      <c r="C176" s="9" t="str">
        <f>IFERROR(__xludf.DUMMYFUNCTION("""COMPUTED_VALUE"""),"Rare")</f>
        <v>Rare</v>
      </c>
      <c r="D176" s="11">
        <f>IFERROR(__xludf.DUMMYFUNCTION("""COMPUTED_VALUE"""),20000.0)</f>
        <v>20000</v>
      </c>
      <c r="E176" s="4" t="str">
        <f>IFERROR(__xludf.DUMMYFUNCTION("""COMPUTED_VALUE"""),"Cure")</f>
        <v>Cure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9" t="str">
        <f>IFERROR(__xludf.DUMMYFUNCTION("""COMPUTED_VALUE"""),"Wood avens, herb bennet (Geum urbanum)")</f>
        <v>Wood avens, herb bennet (Geum urbanum)</v>
      </c>
      <c r="B177" s="9" t="str">
        <f>IFERROR(__xludf.DUMMYFUNCTION("""COMPUTED_VALUE"""),"Stat Increase (+5 to one perk until end of battle or for 1 rp action.)")</f>
        <v>Stat Increase (+5 to one perk until end of battle or for 1 rp action.)</v>
      </c>
      <c r="C177" s="9" t="str">
        <f>IFERROR(__xludf.DUMMYFUNCTION("""COMPUTED_VALUE"""),"Mythic")</f>
        <v>Mythic</v>
      </c>
      <c r="D177" s="11">
        <f>IFERROR(__xludf.DUMMYFUNCTION("""COMPUTED_VALUE"""),20000.0)</f>
        <v>20000</v>
      </c>
      <c r="E177" s="4" t="str">
        <f>IFERROR(__xludf.DUMMYFUNCTION("""COMPUTED_VALUE"""),"StatIn")</f>
        <v>StatIn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9" t="str">
        <f>IFERROR(__xludf.DUMMYFUNCTION("""COMPUTED_VALUE"""),"Woodruff (Galium odoratum)")</f>
        <v>Woodruff (Galium odoratum)</v>
      </c>
      <c r="B178" s="9" t="str">
        <f>IFERROR(__xludf.DUMMYFUNCTION("""COMPUTED_VALUE"""),"Restore 100SP")</f>
        <v>Restore 100SP</v>
      </c>
      <c r="C178" s="9" t="str">
        <f>IFERROR(__xludf.DUMMYFUNCTION("""COMPUTED_VALUE"""),"Legendary")</f>
        <v>Legendary</v>
      </c>
      <c r="D178" s="11">
        <f>IFERROR(__xludf.DUMMYFUNCTION("""COMPUTED_VALUE"""),20000.0)</f>
        <v>20000</v>
      </c>
      <c r="E178" s="4" t="str">
        <f>IFERROR(__xludf.DUMMYFUNCTION("""COMPUTED_VALUE"""),"Restore")</f>
        <v>Restore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9" t="str">
        <f>IFERROR(__xludf.DUMMYFUNCTION("""COMPUTED_VALUE"""),"Wormwood, absinthe (Artemisia absinthium)")</f>
        <v>Wormwood, absinthe (Artemisia absinthium)</v>
      </c>
      <c r="B179" s="9" t="str">
        <f>IFERROR(__xludf.DUMMYFUNCTION("""COMPUTED_VALUE"""),"Stat Increase (+5 to one perk until end of battle or for 1 rp action.)")</f>
        <v>Stat Increase (+5 to one perk until end of battle or for 1 rp action.)</v>
      </c>
      <c r="C179" s="9" t="str">
        <f>IFERROR(__xludf.DUMMYFUNCTION("""COMPUTED_VALUE"""),"Mythic")</f>
        <v>Mythic</v>
      </c>
      <c r="D179" s="11">
        <f>IFERROR(__xludf.DUMMYFUNCTION("""COMPUTED_VALUE"""),20000.0)</f>
        <v>20000</v>
      </c>
      <c r="E179" s="4" t="str">
        <f>IFERROR(__xludf.DUMMYFUNCTION("""COMPUTED_VALUE"""),"Statin")</f>
        <v>Statin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0" t="str">
        <f>IFERROR(__xludf.DUMMYFUNCTION("""COMPUTED_VALUE"""),"Yerba buena, any of four different species, many unrelated")</f>
        <v>Yerba buena, any of four different species, many unrelated</v>
      </c>
      <c r="B180" s="9" t="str">
        <f>IFERROR(__xludf.DUMMYFUNCTION("""COMPUTED_VALUE"""),"Stat Increase (+5 to one perk until end of battle or for 1 rp action.)")</f>
        <v>Stat Increase (+5 to one perk until end of battle or for 1 rp action.)</v>
      </c>
      <c r="C180" s="9" t="str">
        <f>IFERROR(__xludf.DUMMYFUNCTION("""COMPUTED_VALUE"""),"Uncommon")</f>
        <v>Uncommon</v>
      </c>
      <c r="D180" s="11">
        <f>IFERROR(__xludf.DUMMYFUNCTION("""COMPUTED_VALUE"""),20000.0)</f>
        <v>20000</v>
      </c>
      <c r="E180" s="4" t="str">
        <f>IFERROR(__xludf.DUMMYFUNCTION("""COMPUTED_VALUE"""),"Statin")</f>
        <v>Statin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9" t="str">
        <f>IFERROR(__xludf.DUMMYFUNCTION("""COMPUTED_VALUE"""),"Yarrow (Achillea millefolium)")</f>
        <v>Yarrow (Achillea millefolium)</v>
      </c>
      <c r="B181" s="9" t="str">
        <f>IFERROR(__xludf.DUMMYFUNCTION("""COMPUTED_VALUE"""),"Stat Increase (+5 to one perk until end of battle or for 1 rp action.)")</f>
        <v>Stat Increase (+5 to one perk until end of battle or for 1 rp action.)</v>
      </c>
      <c r="C181" s="9" t="str">
        <f>IFERROR(__xludf.DUMMYFUNCTION("""COMPUTED_VALUE"""),"Uncommon")</f>
        <v>Uncommon</v>
      </c>
      <c r="D181" s="11">
        <f>IFERROR(__xludf.DUMMYFUNCTION("""COMPUTED_VALUE"""),20000.0)</f>
        <v>20000</v>
      </c>
      <c r="E181" s="4" t="str">
        <f>IFERROR(__xludf.DUMMYFUNCTION("""COMPUTED_VALUE"""),"Statin")</f>
        <v>Statin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9" t="str">
        <f>IFERROR(__xludf.DUMMYFUNCTION("""COMPUTED_VALUE"""),"Za'atar (herbs from the genera Origanum, Calamintha, Thymus, and Satureja)")</f>
        <v>Za'atar (herbs from the genera Origanum, Calamintha, Thymus, and Satureja)</v>
      </c>
      <c r="B182" s="9" t="str">
        <f>IFERROR(__xludf.DUMMYFUNCTION("""COMPUTED_VALUE"""),"Stat Increase (+5 to one perk until end of battle or for 1 rp action.)")</f>
        <v>Stat Increase (+5 to one perk until end of battle or for 1 rp action.)</v>
      </c>
      <c r="C182" s="9" t="str">
        <f>IFERROR(__xludf.DUMMYFUNCTION("""COMPUTED_VALUE"""),"Mythic")</f>
        <v>Mythic</v>
      </c>
      <c r="D182" s="11">
        <f>IFERROR(__xludf.DUMMYFUNCTION("""COMPUTED_VALUE"""),20000.0)</f>
        <v>20000</v>
      </c>
      <c r="E182" s="4" t="str">
        <f>IFERROR(__xludf.DUMMYFUNCTION("""COMPUTED_VALUE"""),"StatIn")</f>
        <v>StatIn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9" t="str">
        <f>IFERROR(__xludf.DUMMYFUNCTION("""COMPUTED_VALUE"""),"Zedoary (Curcuma zedoaria)")</f>
        <v>Zedoary (Curcuma zedoaria)</v>
      </c>
      <c r="B183" s="9" t="str">
        <f>IFERROR(__xludf.DUMMYFUNCTION("""COMPUTED_VALUE"""),"Restore 100HP")</f>
        <v>Restore 100HP</v>
      </c>
      <c r="C183" s="9" t="str">
        <f>IFERROR(__xludf.DUMMYFUNCTION("""COMPUTED_VALUE"""),"Legendary")</f>
        <v>Legendary</v>
      </c>
      <c r="D183" s="11">
        <f>IFERROR(__xludf.DUMMYFUNCTION("""COMPUTED_VALUE"""),20000.0)</f>
        <v>20000</v>
      </c>
      <c r="E183" s="4" t="str">
        <f>IFERROR(__xludf.DUMMYFUNCTION("""COMPUTED_VALUE"""),"Restore")</f>
        <v>Restore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8"/>
    <hyperlink r:id="rId36" ref="A39"/>
    <hyperlink r:id="rId37" ref="A40"/>
    <hyperlink r:id="rId38" ref="A41"/>
    <hyperlink r:id="rId39" location="Leaves" ref="A42"/>
    <hyperlink r:id="rId40" ref="A43"/>
    <hyperlink r:id="rId41" ref="A45"/>
    <hyperlink r:id="rId42" ref="A46"/>
    <hyperlink r:id="rId43" ref="A48"/>
    <hyperlink r:id="rId44" ref="A49"/>
    <hyperlink r:id="rId45" ref="A50"/>
    <hyperlink r:id="rId46" ref="A51"/>
    <hyperlink r:id="rId47" ref="A52"/>
    <hyperlink r:id="rId48" ref="A53"/>
    <hyperlink r:id="rId49" ref="A55"/>
    <hyperlink r:id="rId50" ref="A56"/>
    <hyperlink r:id="rId51" ref="A57"/>
    <hyperlink r:id="rId52" ref="A58"/>
    <hyperlink r:id="rId53" ref="A59"/>
    <hyperlink r:id="rId54" ref="A60"/>
    <hyperlink r:id="rId55" ref="A61"/>
    <hyperlink r:id="rId56" ref="A62"/>
    <hyperlink r:id="rId57" ref="A63"/>
    <hyperlink r:id="rId58" ref="A64"/>
    <hyperlink r:id="rId59" ref="A65"/>
    <hyperlink r:id="rId60" ref="A66"/>
    <hyperlink r:id="rId61" ref="A68"/>
    <hyperlink r:id="rId62" ref="A69"/>
    <hyperlink r:id="rId63" ref="A83"/>
    <hyperlink r:id="rId64" ref="A98"/>
    <hyperlink r:id="rId65" ref="A180"/>
  </hyperlinks>
  <drawing r:id="rId66"/>
</worksheet>
</file>