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opFront" sheetId="1" r:id="rId4"/>
    <sheet state="visible" name="Home" sheetId="2" r:id="rId5"/>
    <sheet state="visible" name="Farm" sheetId="3" r:id="rId6"/>
    <sheet state="visible" name="Home PiggyBank" sheetId="4" r:id="rId7"/>
    <sheet state="visible" name="HomeConfig" sheetId="5" r:id="rId8"/>
    <sheet state="hidden" name="HouseTypes" sheetId="6" r:id="rId9"/>
    <sheet state="visible" name="HousingServices" sheetId="7" r:id="rId10"/>
    <sheet state="hidden" name="ItemEquipCombine" sheetId="8" r:id="rId11"/>
    <sheet state="hidden" name="MoneyRates" sheetId="9" r:id="rId12"/>
    <sheet state="hidden" name="Worlds" sheetId="10" r:id="rId13"/>
    <sheet state="hidden" name="WorldFilter" sheetId="11" r:id="rId14"/>
    <sheet state="hidden" name="Towns" sheetId="12" r:id="rId15"/>
  </sheets>
  <definedNames/>
  <calcPr/>
</workbook>
</file>

<file path=xl/sharedStrings.xml><?xml version="1.0" encoding="utf-8"?>
<sst xmlns="http://schemas.openxmlformats.org/spreadsheetml/2006/main" count="134" uniqueCount="57">
  <si>
    <t>Sheet ID:</t>
  </si>
  <si>
    <t>Shop Name:</t>
  </si>
  <si>
    <t>Description:</t>
  </si>
  <si>
    <t>World</t>
  </si>
  <si>
    <t>Town</t>
  </si>
  <si>
    <t>Store Money:</t>
  </si>
  <si>
    <t>Item Number</t>
  </si>
  <si>
    <t>Sold</t>
  </si>
  <si>
    <t>Stock</t>
  </si>
  <si>
    <t>Currency Type</t>
  </si>
  <si>
    <t>Cost</t>
  </si>
  <si>
    <t>Name</t>
  </si>
  <si>
    <t>Description</t>
  </si>
  <si>
    <t>Type</t>
  </si>
  <si>
    <t>Slot</t>
  </si>
  <si>
    <t>Level Requirement</t>
  </si>
  <si>
    <t>Abilities</t>
  </si>
  <si>
    <t>Estimated Price</t>
  </si>
  <si>
    <t>Forge Amount</t>
  </si>
  <si>
    <t>Gilder</t>
  </si>
  <si>
    <t>Item/Equipment Finder:</t>
  </si>
  <si>
    <t>Home Type</t>
  </si>
  <si>
    <t>Home Name</t>
  </si>
  <si>
    <t>Services</t>
  </si>
  <si>
    <t>Home Value</t>
  </si>
  <si>
    <t>Gilders</t>
  </si>
  <si>
    <t>Storage</t>
  </si>
  <si>
    <t>Max Storage Size</t>
  </si>
  <si>
    <t>Amount</t>
  </si>
  <si>
    <t>Trading Value</t>
  </si>
  <si>
    <t>To</t>
  </si>
  <si>
    <t>Equals</t>
  </si>
  <si>
    <t>Your Currency</t>
  </si>
  <si>
    <t>Gilders (G)</t>
  </si>
  <si>
    <t>SeaCoin (SC)</t>
  </si>
  <si>
    <t>Crystals (C)</t>
  </si>
  <si>
    <t>Frost Coins (FC)</t>
  </si>
  <si>
    <t>Undead Coins (UC)</t>
  </si>
  <si>
    <t>Halloween Coins (HC)</t>
  </si>
  <si>
    <t>House type</t>
  </si>
  <si>
    <t>Name:</t>
  </si>
  <si>
    <t>Shop?:</t>
  </si>
  <si>
    <t>Additional Storage 2</t>
  </si>
  <si>
    <t>Services Purchased</t>
  </si>
  <si>
    <t>Service That come with House</t>
  </si>
  <si>
    <t>Additional Storage 3</t>
  </si>
  <si>
    <t>Additional Storage</t>
  </si>
  <si>
    <t>Expanded Storage</t>
  </si>
  <si>
    <t>Expanded Storage 2</t>
  </si>
  <si>
    <t>Anti-Burglary Protection</t>
  </si>
  <si>
    <t>Full Rest</t>
  </si>
  <si>
    <t>Security Guard</t>
  </si>
  <si>
    <t>Personal In-House Cookshop</t>
  </si>
  <si>
    <t>Personal In-House Blacksmithery</t>
  </si>
  <si>
    <t>Personal In-House Alchemy Brewing Station</t>
  </si>
  <si>
    <t>Personal In-House Enchanting table</t>
  </si>
  <si>
    <t>Personal In-House Breedery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</si>
</sst>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m/d"/>
  </numFmts>
  <fonts count="8">
    <font>
      <sz val="10.0"/>
      <color rgb="FF000000"/>
      <name val="Arial"/>
      <scheme val="minor"/>
    </font>
    <font>
      <color theme="1"/>
      <name val="Arial"/>
      <scheme val="minor"/>
    </font>
    <font>
      <u/>
      <color rgb="FF0000FF"/>
    </font>
    <font/>
    <font>
      <b/>
      <color theme="1"/>
      <name val="Arial"/>
      <scheme val="minor"/>
    </font>
    <font>
      <b/>
      <color theme="1"/>
      <name val="Arial"/>
    </font>
    <font>
      <color theme="1"/>
      <name val="Arial"/>
    </font>
    <font>
      <b/>
      <sz val="12.0"/>
      <color theme="1"/>
      <name val="Arial"/>
      <scheme val="minor"/>
    </font>
  </fonts>
  <fills count="2">
    <fill>
      <patternFill patternType="none"/>
    </fill>
    <fill>
      <patternFill patternType="lightGray"/>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borderId="1" fillId="0" fontId="1" numFmtId="0" xfId="0" applyAlignment="1" applyBorder="1" applyFont="1">
      <alignment readingOrder="0"/>
    </xf>
    <xf borderId="2" fillId="0" fontId="3" numFmtId="0" xfId="0" applyBorder="1" applyFont="1"/>
    <xf borderId="3" fillId="0" fontId="3" numFmtId="0" xfId="0" applyBorder="1" applyFont="1"/>
    <xf borderId="4" fillId="0" fontId="1" numFmtId="0" xfId="0" applyBorder="1" applyFont="1"/>
    <xf borderId="5" fillId="0" fontId="3" numFmtId="0" xfId="0" applyBorder="1" applyFont="1"/>
    <xf borderId="6" fillId="0" fontId="3" numFmtId="0" xfId="0" applyBorder="1" applyFont="1"/>
    <xf borderId="0" fillId="0" fontId="1" numFmtId="164" xfId="0" applyAlignment="1" applyFont="1" applyNumberFormat="1">
      <alignment readingOrder="0"/>
    </xf>
    <xf borderId="7" fillId="0" fontId="3" numFmtId="0" xfId="0" applyBorder="1" applyFont="1"/>
    <xf borderId="8" fillId="0" fontId="3" numFmtId="0" xfId="0" applyBorder="1" applyFont="1"/>
    <xf borderId="9" fillId="0" fontId="3" numFmtId="0" xfId="0" applyBorder="1" applyFont="1"/>
    <xf borderId="0" fillId="0" fontId="4" numFmtId="0" xfId="0" applyAlignment="1" applyFont="1">
      <alignment horizontal="center" readingOrder="0"/>
    </xf>
    <xf borderId="0" fillId="0" fontId="5" numFmtId="0" xfId="0" applyAlignment="1" applyFont="1">
      <alignment horizontal="center" readingOrder="0" vertical="bottom"/>
    </xf>
    <xf borderId="0" fillId="0" fontId="1" numFmtId="164" xfId="0" applyFont="1" applyNumberFormat="1"/>
    <xf borderId="0" fillId="0" fontId="1" numFmtId="165" xfId="0" applyAlignment="1" applyFont="1" applyNumberFormat="1">
      <alignment readingOrder="0"/>
    </xf>
    <xf borderId="0" fillId="0" fontId="6" numFmtId="0" xfId="0" applyAlignment="1" applyFont="1">
      <alignment vertical="bottom"/>
    </xf>
    <xf borderId="0" fillId="0" fontId="5" numFmtId="0" xfId="0" applyAlignment="1" applyFont="1">
      <alignment horizontal="center" vertical="bottom"/>
    </xf>
    <xf borderId="0" fillId="0" fontId="6" numFmtId="0" xfId="0" applyAlignment="1" applyFont="1">
      <alignment vertical="bottom"/>
    </xf>
    <xf borderId="0" fillId="0" fontId="6" numFmtId="0" xfId="0" applyAlignment="1" applyFont="1">
      <alignment horizontal="right" vertical="bottom"/>
    </xf>
    <xf borderId="0" fillId="0" fontId="5" numFmtId="0" xfId="0" applyAlignment="1" applyFont="1">
      <alignment horizontal="right"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164" xfId="0" applyAlignment="1" applyFont="1" applyNumberFormat="1">
      <alignment horizontal="center" vertical="bottom"/>
    </xf>
    <xf borderId="0" fillId="0" fontId="6" numFmtId="164" xfId="0" applyAlignment="1" applyFont="1" applyNumberFormat="1">
      <alignment vertical="bottom"/>
    </xf>
    <xf borderId="0" fillId="0" fontId="4" numFmtId="0" xfId="0" applyAlignment="1" applyFont="1">
      <alignment horizontal="right" readingOrder="0"/>
    </xf>
    <xf borderId="0" fillId="0" fontId="1" numFmtId="0" xfId="0" applyAlignment="1" applyFont="1">
      <alignment horizontal="center" vertical="center"/>
    </xf>
    <xf borderId="0" fillId="0" fontId="1" numFmtId="0" xfId="0" applyAlignment="1" applyFont="1">
      <alignment vertical="center"/>
    </xf>
    <xf borderId="0" fillId="0" fontId="7" numFmtId="0" xfId="0" applyAlignment="1" applyFont="1">
      <alignment readingOrder="0"/>
    </xf>
    <xf borderId="0" fillId="0" fontId="1" numFmtId="0" xfId="0" applyAlignment="1" applyFont="1">
      <alignment horizontal="center" readingOrder="0"/>
    </xf>
    <xf borderId="0" fillId="0" fontId="1" numFmtId="164" xfId="0" applyAlignment="1" applyFont="1" applyNumberFormat="1">
      <alignment readingOrder="0"/>
    </xf>
    <xf borderId="0" fillId="0" fontId="1" numFmtId="0" xfId="0" applyAlignment="1" applyFont="1">
      <alignment horizontal="right" readingOrder="0"/>
    </xf>
    <xf borderId="0" fillId="0" fontId="4" numFmtId="0" xfId="0" applyAlignment="1" applyFont="1">
      <alignment readingOrder="0" shrinkToFit="0" wrapText="0"/>
    </xf>
    <xf borderId="0" fillId="0" fontId="1" numFmtId="3" xfId="0" applyFont="1" applyNumberFormat="1"/>
  </cellXfs>
  <cellStyles count="1">
    <cellStyle xfId="0" name="Normal" builtinId="0"/>
  </cellStyles>
  <dxfs count="2">
    <dxf>
      <font/>
      <fill>
        <patternFill patternType="solid">
          <fgColor rgb="FFF4C7C3"/>
          <bgColor rgb="FFF4C7C3"/>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5.88"/>
    <col customWidth="1" min="12" max="12" width="13.5"/>
    <col hidden="1" min="23" max="23" width="12.63"/>
  </cols>
  <sheetData>
    <row r="1">
      <c r="A1" s="1" t="s">
        <v>0</v>
      </c>
      <c r="B1" s="2" t="str">
        <f>SheetID()</f>
        <v>1B0rQlVhsMpYYtmFu8POETdenGA-lQ3HOJ5UrfUGjGyg</v>
      </c>
      <c r="W1" s="2" t="str">
        <f>IF(VLOOKUP(Home!$A$7,HouseTypes!$A$2:$U1000,MATCH("Type",HouseTypes!$A$1:$U$1,0),FALSE)="Shop",TRUE,FALSE)</f>
        <v>#N/A</v>
      </c>
    </row>
    <row r="2">
      <c r="A2" s="3" t="str">
        <f>HYPERLINK("https://docs.google.com/spreadsheets/d/1N22J4VyE5U9YApKhbMOBFCw-IrX-cS2iZEXqOUH8eII","Please Click Here to add your Shop to the public listing. Copy ID Above!")</f>
        <v>Please Click Here to add your Shop to the public listing. Copy ID Above!</v>
      </c>
    </row>
    <row r="3">
      <c r="A3" s="1" t="s">
        <v>1</v>
      </c>
      <c r="B3" s="4"/>
      <c r="C3" s="5"/>
      <c r="D3" s="6"/>
    </row>
    <row r="4">
      <c r="A4" s="1" t="s">
        <v>2</v>
      </c>
      <c r="B4" s="7"/>
      <c r="C4" s="8"/>
      <c r="D4" s="9"/>
      <c r="E4" s="10"/>
    </row>
    <row r="5">
      <c r="B5" s="11"/>
      <c r="C5" s="12"/>
      <c r="D5" s="13"/>
      <c r="E5" s="10"/>
    </row>
    <row r="6">
      <c r="A6" s="1" t="s">
        <v>3</v>
      </c>
      <c r="B6" s="2"/>
    </row>
    <row r="7">
      <c r="A7" s="1" t="s">
        <v>4</v>
      </c>
      <c r="B7" s="2"/>
    </row>
    <row r="8">
      <c r="A8" s="1" t="s">
        <v>5</v>
      </c>
      <c r="B8" s="10">
        <v>0.0</v>
      </c>
    </row>
    <row r="10">
      <c r="A10" s="14" t="s">
        <v>6</v>
      </c>
      <c r="B10" s="14" t="s">
        <v>7</v>
      </c>
      <c r="C10" s="14" t="s">
        <v>8</v>
      </c>
      <c r="D10" s="14" t="s">
        <v>9</v>
      </c>
      <c r="E10" s="14" t="s">
        <v>10</v>
      </c>
      <c r="F10" s="14" t="s">
        <v>11</v>
      </c>
      <c r="G10" s="15" t="s">
        <v>12</v>
      </c>
      <c r="H10" s="14" t="s">
        <v>13</v>
      </c>
      <c r="I10" s="15" t="s">
        <v>14</v>
      </c>
      <c r="J10" s="14" t="s">
        <v>15</v>
      </c>
      <c r="K10" s="14" t="s">
        <v>16</v>
      </c>
      <c r="L10" s="14" t="s">
        <v>17</v>
      </c>
      <c r="M10" s="14" t="s">
        <v>18</v>
      </c>
    </row>
    <row r="11">
      <c r="A11" s="1">
        <v>1.0</v>
      </c>
      <c r="D11" s="1" t="s">
        <v>19</v>
      </c>
      <c r="E11" s="10"/>
      <c r="F11" s="2"/>
      <c r="G11" s="2" t="str">
        <f>IFNA(VLOOKUP($F11,Home!$B$14:$I1000,MATCH(G$10,Home!$B$13:$I$13,0),FALSE))</f>
        <v/>
      </c>
      <c r="H11" s="2" t="str">
        <f>IFNA(VLOOKUP($F11,Home!$B$14:$I1000,MATCH(H$10,Home!$B$13:$I$13,0),FALSE))</f>
        <v/>
      </c>
      <c r="I11" s="2" t="str">
        <f>IFNA(VLOOKUP($F11,Home!$B$14:$I1000,MATCH(I$10,Home!$B$13:$I$13,0),FALSE))</f>
        <v/>
      </c>
      <c r="J11" s="2" t="str">
        <f>IFNA(VLOOKUP($F11,Home!$B$14:$I1000,MATCH(J$10,Home!$B$13:$I$13,0),FALSE))</f>
        <v/>
      </c>
      <c r="K11" s="2" t="str">
        <f>IFNA(VLOOKUP($F11,Home!$B$14:$I1000,MATCH(K$10,Home!$B$13:$I$13,0),FALSE))</f>
        <v/>
      </c>
      <c r="L11" s="16" t="str">
        <f>IFNA(VLOOKUP($F11,Home!$B$14:$I1000,MATCH(L$10,Home!$B$13:$I$13,0),FALSE))</f>
        <v/>
      </c>
      <c r="M11" s="2" t="str">
        <f>IFNA(VLOOKUP($F11,Home!$B$14:$I1000,MATCH(M$10,Home!$B$13:$I$13,0),FALSE))</f>
        <v/>
      </c>
    </row>
    <row r="12">
      <c r="A12" s="1">
        <v>2.0</v>
      </c>
      <c r="C12" s="17"/>
      <c r="D12" s="2"/>
      <c r="E12" s="10"/>
      <c r="F12" s="2"/>
      <c r="G12" s="2" t="str">
        <f>IFNA(VLOOKUP($F12,Home!$B$14:$I1000,MATCH(G$10,Home!$B$13:$I$13,0),FALSE))</f>
        <v/>
      </c>
      <c r="H12" s="2" t="str">
        <f>IFNA(VLOOKUP($F12,Home!$B$14:$I1000,MATCH(H$10,Home!$B$13:$I$13,0),FALSE))</f>
        <v/>
      </c>
      <c r="I12" s="2" t="str">
        <f>IFNA(VLOOKUP($F12,Home!$B$14:$I1000,MATCH(I$10,Home!$B$13:$I$13,0),FALSE))</f>
        <v/>
      </c>
      <c r="J12" s="2" t="str">
        <f>IFNA(VLOOKUP($F12,Home!$B$14:$I1000,MATCH(J$10,Home!$B$13:$I$13,0),FALSE))</f>
        <v/>
      </c>
      <c r="K12" s="2" t="str">
        <f>IFNA(VLOOKUP($F12,Home!$B$14:$I1000,MATCH(K$10,Home!$B$13:$I$13,0),FALSE))</f>
        <v/>
      </c>
      <c r="L12" s="16" t="str">
        <f>IFNA(VLOOKUP($F12,Home!$B$14:$I1000,MATCH(L$10,Home!$B$13:$I$13,0),FALSE))</f>
        <v/>
      </c>
      <c r="M12" s="2" t="str">
        <f>IFNA(VLOOKUP($F12,Home!$B$14:$I1000,MATCH(M$10,Home!$B$13:$I$13,0),FALSE))</f>
        <v/>
      </c>
    </row>
    <row r="13">
      <c r="A13" s="1">
        <v>3.0</v>
      </c>
      <c r="C13" s="17"/>
      <c r="D13" s="2"/>
      <c r="E13" s="10"/>
      <c r="F13" s="2"/>
      <c r="G13" s="2" t="str">
        <f>IFNA(VLOOKUP($F13,Home!$B$14:$I1000,MATCH(G$10,Home!$B$13:$I$13,0),FALSE))</f>
        <v/>
      </c>
      <c r="H13" s="2" t="str">
        <f>IFNA(VLOOKUP($F13,Home!$B$14:$I1000,MATCH(H$10,Home!$B$13:$I$13,0),FALSE))</f>
        <v/>
      </c>
      <c r="I13" s="2" t="str">
        <f>IFNA(VLOOKUP($F13,Home!$B$14:$I1000,MATCH(I$10,Home!$B$13:$I$13,0),FALSE))</f>
        <v/>
      </c>
      <c r="J13" s="2" t="str">
        <f>IFNA(VLOOKUP($F13,Home!$B$14:$I1000,MATCH(J$10,Home!$B$13:$I$13,0),FALSE))</f>
        <v/>
      </c>
      <c r="K13" s="2" t="str">
        <f>IFNA(VLOOKUP($F13,Home!$B$14:$I1000,MATCH(K$10,Home!$B$13:$I$13,0),FALSE))</f>
        <v/>
      </c>
      <c r="L13" s="16" t="str">
        <f>IFNA(VLOOKUP($F13,Home!$B$14:$I1000,MATCH(L$10,Home!$B$13:$I$13,0),FALSE))</f>
        <v/>
      </c>
      <c r="M13" s="2" t="str">
        <f>IFNA(VLOOKUP($F13,Home!$B$14:$I1000,MATCH(M$10,Home!$B$13:$I$13,0),FALSE))</f>
        <v/>
      </c>
    </row>
    <row r="14">
      <c r="A14" s="1">
        <v>4.0</v>
      </c>
      <c r="D14" s="2"/>
      <c r="F14" s="2"/>
      <c r="G14" s="2" t="str">
        <f>IFNA(VLOOKUP($F14,Home!$B$14:$I1000,MATCH(G$10,Home!$B$13:$I$13,0),FALSE))</f>
        <v/>
      </c>
      <c r="H14" s="2" t="str">
        <f>IFNA(VLOOKUP($F14,Home!$B$14:$I1000,MATCH(H$10,Home!$B$13:$I$13,0),FALSE))</f>
        <v/>
      </c>
      <c r="I14" s="2" t="str">
        <f>IFNA(VLOOKUP($F14,Home!$B$14:$I1000,MATCH(I$10,Home!$B$13:$I$13,0),FALSE))</f>
        <v/>
      </c>
      <c r="J14" s="2" t="str">
        <f>IFNA(VLOOKUP($F14,Home!$B$14:$I1000,MATCH(J$10,Home!$B$13:$I$13,0),FALSE))</f>
        <v/>
      </c>
      <c r="K14" s="2" t="str">
        <f>IFNA(VLOOKUP($F14,Home!$B$14:$I1000,MATCH(K$10,Home!$B$13:$I$13,0),FALSE))</f>
        <v/>
      </c>
      <c r="L14" s="16" t="str">
        <f>IFNA(VLOOKUP($F14,Home!$B$14:$I1000,MATCH(L$10,Home!$B$13:$I$13,0),FALSE))</f>
        <v/>
      </c>
      <c r="M14" s="2" t="str">
        <f>IFNA(VLOOKUP($F14,Home!$B$14:$I1000,MATCH(M$10,Home!$B$13:$I$13,0),FALSE))</f>
        <v/>
      </c>
    </row>
    <row r="15">
      <c r="A15" s="1">
        <v>5.0</v>
      </c>
      <c r="D15" s="2"/>
      <c r="F15" s="2"/>
      <c r="G15" s="2" t="str">
        <f>IFNA(VLOOKUP($F15,Home!$B$14:$I1000,MATCH(G$10,Home!$B$13:$I$13,0),FALSE))</f>
        <v/>
      </c>
      <c r="H15" s="2" t="str">
        <f>IFNA(VLOOKUP($F15,Home!$B$14:$I1000,MATCH(H$10,Home!$B$13:$I$13,0),FALSE))</f>
        <v/>
      </c>
      <c r="I15" s="2" t="str">
        <f>IFNA(VLOOKUP($F15,Home!$B$14:$I1000,MATCH(I$10,Home!$B$13:$I$13,0),FALSE))</f>
        <v/>
      </c>
      <c r="J15" s="2" t="str">
        <f>IFNA(VLOOKUP($F15,Home!$B$14:$I1000,MATCH(J$10,Home!$B$13:$I$13,0),FALSE))</f>
        <v/>
      </c>
      <c r="K15" s="2" t="str">
        <f>IFNA(VLOOKUP($F15,Home!$B$14:$I1000,MATCH(K$10,Home!$B$13:$I$13,0),FALSE))</f>
        <v/>
      </c>
      <c r="L15" s="16" t="str">
        <f>IFNA(VLOOKUP($F15,Home!$B$14:$I1000,MATCH(L$10,Home!$B$13:$I$13,0),FALSE))</f>
        <v/>
      </c>
      <c r="M15" s="2" t="str">
        <f>IFNA(VLOOKUP($F15,Home!$B$14:$I1000,MATCH(M$10,Home!$B$13:$I$13,0),FALSE))</f>
        <v/>
      </c>
    </row>
    <row r="16">
      <c r="A16" s="1">
        <v>6.0</v>
      </c>
      <c r="D16" s="2"/>
      <c r="F16" s="2"/>
      <c r="G16" s="2" t="str">
        <f>IFNA(VLOOKUP($F16,Home!$B$14:$I1000,MATCH(G$10,Home!$B$13:$I$13,0),FALSE))</f>
        <v/>
      </c>
      <c r="H16" s="2" t="str">
        <f>IFNA(VLOOKUP($F16,Home!$B$14:$I1000,MATCH(H$10,Home!$B$13:$I$13,0),FALSE))</f>
        <v/>
      </c>
      <c r="I16" s="2" t="str">
        <f>IFNA(VLOOKUP($F16,Home!$B$14:$I1000,MATCH(I$10,Home!$B$13:$I$13,0),FALSE))</f>
        <v/>
      </c>
      <c r="J16" s="2" t="str">
        <f>IFNA(VLOOKUP($F16,Home!$B$14:$I1000,MATCH(J$10,Home!$B$13:$I$13,0),FALSE))</f>
        <v/>
      </c>
      <c r="K16" s="2" t="str">
        <f>IFNA(VLOOKUP($F16,Home!$B$14:$I1000,MATCH(K$10,Home!$B$13:$I$13,0),FALSE))</f>
        <v/>
      </c>
      <c r="L16" s="16" t="str">
        <f>IFNA(VLOOKUP($F16,Home!$B$14:$I1000,MATCH(L$10,Home!$B$13:$I$13,0),FALSE))</f>
        <v/>
      </c>
      <c r="M16" s="2" t="str">
        <f>IFNA(VLOOKUP($F16,Home!$B$14:$I1000,MATCH(M$10,Home!$B$13:$I$13,0),FALSE))</f>
        <v/>
      </c>
    </row>
    <row r="17">
      <c r="A17" s="1">
        <v>7.0</v>
      </c>
      <c r="D17" s="2"/>
      <c r="F17" s="2"/>
      <c r="G17" s="2" t="str">
        <f>IFNA(VLOOKUP($F17,Home!$B$14:$I1000,MATCH(G$10,Home!$B$13:$I$13,0),FALSE))</f>
        <v/>
      </c>
      <c r="H17" s="2" t="str">
        <f>IFNA(VLOOKUP($F17,Home!$B$14:$I1000,MATCH(H$10,Home!$B$13:$I$13,0),FALSE))</f>
        <v/>
      </c>
      <c r="I17" s="2" t="str">
        <f>IFNA(VLOOKUP($F17,Home!$B$14:$I1000,MATCH(I$10,Home!$B$13:$I$13,0),FALSE))</f>
        <v/>
      </c>
      <c r="J17" s="2" t="str">
        <f>IFNA(VLOOKUP($F17,Home!$B$14:$I1000,MATCH(J$10,Home!$B$13:$I$13,0),FALSE))</f>
        <v/>
      </c>
      <c r="K17" s="2" t="str">
        <f>IFNA(VLOOKUP($F17,Home!$B$14:$I1000,MATCH(K$10,Home!$B$13:$I$13,0),FALSE))</f>
        <v/>
      </c>
      <c r="L17" s="16" t="str">
        <f>IFNA(VLOOKUP($F17,Home!$B$14:$I1000,MATCH(L$10,Home!$B$13:$I$13,0),FALSE))</f>
        <v/>
      </c>
      <c r="M17" s="2" t="str">
        <f>IFNA(VLOOKUP($F17,Home!$B$14:$I1000,MATCH(M$10,Home!$B$13:$I$13,0),FALSE))</f>
        <v/>
      </c>
    </row>
    <row r="18">
      <c r="A18" s="1">
        <v>8.0</v>
      </c>
      <c r="D18" s="2"/>
      <c r="F18" s="2"/>
      <c r="G18" s="2" t="str">
        <f>IFNA(VLOOKUP($F18,Home!$B$14:$I1000,MATCH(G$10,Home!$B$13:$I$13,0),FALSE))</f>
        <v/>
      </c>
      <c r="H18" s="2" t="str">
        <f>IFNA(VLOOKUP($F18,Home!$B$14:$I1000,MATCH(H$10,Home!$B$13:$I$13,0),FALSE))</f>
        <v/>
      </c>
      <c r="I18" s="2" t="str">
        <f>IFNA(VLOOKUP($F18,Home!$B$14:$I1000,MATCH(I$10,Home!$B$13:$I$13,0),FALSE))</f>
        <v/>
      </c>
      <c r="J18" s="2" t="str">
        <f>IFNA(VLOOKUP($F18,Home!$B$14:$I1000,MATCH(J$10,Home!$B$13:$I$13,0),FALSE))</f>
        <v/>
      </c>
      <c r="K18" s="2" t="str">
        <f>IFNA(VLOOKUP($F18,Home!$B$14:$I1000,MATCH(K$10,Home!$B$13:$I$13,0),FALSE))</f>
        <v/>
      </c>
      <c r="L18" s="16" t="str">
        <f>IFNA(VLOOKUP($F18,Home!$B$14:$I1000,MATCH(L$10,Home!$B$13:$I$13,0),FALSE))</f>
        <v/>
      </c>
      <c r="M18" s="2" t="str">
        <f>IFNA(VLOOKUP($F18,Home!$B$14:$I1000,MATCH(M$10,Home!$B$13:$I$13,0),FALSE))</f>
        <v/>
      </c>
    </row>
    <row r="19">
      <c r="A19" s="1">
        <v>9.0</v>
      </c>
      <c r="D19" s="2"/>
      <c r="F19" s="2"/>
      <c r="G19" s="2" t="str">
        <f>IFNA(VLOOKUP($F19,Home!$B$14:$I1000,MATCH(G$10,Home!$B$13:$I$13,0),FALSE))</f>
        <v/>
      </c>
      <c r="H19" s="2" t="str">
        <f>IFNA(VLOOKUP($F19,Home!$B$14:$I1000,MATCH(H$10,Home!$B$13:$I$13,0),FALSE))</f>
        <v/>
      </c>
      <c r="I19" s="2" t="str">
        <f>IFNA(VLOOKUP($F19,Home!$B$14:$I1000,MATCH(I$10,Home!$B$13:$I$13,0),FALSE))</f>
        <v/>
      </c>
      <c r="J19" s="2" t="str">
        <f>IFNA(VLOOKUP($F19,Home!$B$14:$I1000,MATCH(J$10,Home!$B$13:$I$13,0),FALSE))</f>
        <v/>
      </c>
      <c r="K19" s="2" t="str">
        <f>IFNA(VLOOKUP($F19,Home!$B$14:$I1000,MATCH(K$10,Home!$B$13:$I$13,0),FALSE))</f>
        <v/>
      </c>
      <c r="L19" s="16" t="str">
        <f>IFNA(VLOOKUP($F19,Home!$B$14:$I1000,MATCH(L$10,Home!$B$13:$I$13,0),FALSE))</f>
        <v/>
      </c>
      <c r="M19" s="2" t="str">
        <f>IFNA(VLOOKUP($F19,Home!$B$14:$I1000,MATCH(M$10,Home!$B$13:$I$13,0),FALSE))</f>
        <v/>
      </c>
    </row>
    <row r="20">
      <c r="A20" s="1">
        <v>10.0</v>
      </c>
      <c r="D20" s="2"/>
      <c r="F20" s="2"/>
      <c r="G20" s="2" t="str">
        <f>IFNA(VLOOKUP($F20,Home!$B$14:$I1000,MATCH(G$10,Home!$B$13:$I$13,0),FALSE))</f>
        <v/>
      </c>
      <c r="H20" s="2" t="str">
        <f>IFNA(VLOOKUP($F20,Home!$B$14:$I1000,MATCH(H$10,Home!$B$13:$I$13,0),FALSE))</f>
        <v/>
      </c>
      <c r="I20" s="2" t="str">
        <f>IFNA(VLOOKUP($F20,Home!$B$14:$I1000,MATCH(I$10,Home!$B$13:$I$13,0),FALSE))</f>
        <v/>
      </c>
      <c r="J20" s="2" t="str">
        <f>IFNA(VLOOKUP($F20,Home!$B$14:$I1000,MATCH(J$10,Home!$B$13:$I$13,0),FALSE))</f>
        <v/>
      </c>
      <c r="K20" s="2" t="str">
        <f>IFNA(VLOOKUP($F20,Home!$B$14:$I1000,MATCH(K$10,Home!$B$13:$I$13,0),FALSE))</f>
        <v/>
      </c>
      <c r="L20" s="16" t="str">
        <f>IFNA(VLOOKUP($F20,Home!$B$14:$I1000,MATCH(L$10,Home!$B$13:$I$13,0),FALSE))</f>
        <v/>
      </c>
      <c r="M20" s="2" t="str">
        <f>IFNA(VLOOKUP($F20,Home!$B$14:$I1000,MATCH(M$10,Home!$B$13:$I$13,0),FALSE))</f>
        <v/>
      </c>
    </row>
    <row r="21">
      <c r="A21" s="1">
        <v>11.0</v>
      </c>
      <c r="D21" s="2"/>
      <c r="F21" s="2"/>
      <c r="G21" s="2" t="str">
        <f>IFNA(VLOOKUP($F21,Home!$B$14:$I1000,MATCH(G$10,Home!$B$13:$I$13,0),FALSE))</f>
        <v/>
      </c>
      <c r="H21" s="2" t="str">
        <f>IFNA(VLOOKUP($F21,Home!$B$14:$I1000,MATCH(H$10,Home!$B$13:$I$13,0),FALSE))</f>
        <v/>
      </c>
      <c r="I21" s="2" t="str">
        <f>IFNA(VLOOKUP($F21,Home!$B$14:$I1000,MATCH(I$10,Home!$B$13:$I$13,0),FALSE))</f>
        <v/>
      </c>
      <c r="J21" s="2" t="str">
        <f>IFNA(VLOOKUP($F21,Home!$B$14:$I1000,MATCH(J$10,Home!$B$13:$I$13,0),FALSE))</f>
        <v/>
      </c>
      <c r="K21" s="2" t="str">
        <f>IFNA(VLOOKUP($F21,Home!$B$14:$I1000,MATCH(K$10,Home!$B$13:$I$13,0),FALSE))</f>
        <v/>
      </c>
      <c r="L21" s="16" t="str">
        <f>IFNA(VLOOKUP($F21,Home!$B$14:$I1000,MATCH(L$10,Home!$B$13:$I$13,0),FALSE))</f>
        <v/>
      </c>
      <c r="M21" s="2" t="str">
        <f>IFNA(VLOOKUP($F21,Home!$B$14:$I1000,MATCH(M$10,Home!$B$13:$I$13,0),FALSE))</f>
        <v/>
      </c>
    </row>
    <row r="22">
      <c r="A22" s="1">
        <v>12.0</v>
      </c>
      <c r="D22" s="2"/>
      <c r="F22" s="2"/>
      <c r="G22" s="2" t="str">
        <f>IFNA(VLOOKUP($F22,Home!$B$14:$I1000,MATCH(G$10,Home!$B$13:$I$13,0),FALSE))</f>
        <v/>
      </c>
      <c r="H22" s="2" t="str">
        <f>IFNA(VLOOKUP($F22,Home!$B$14:$I1000,MATCH(H$10,Home!$B$13:$I$13,0),FALSE))</f>
        <v/>
      </c>
      <c r="I22" s="2" t="str">
        <f>IFNA(VLOOKUP($F22,Home!$B$14:$I1000,MATCH(I$10,Home!$B$13:$I$13,0),FALSE))</f>
        <v/>
      </c>
      <c r="J22" s="2" t="str">
        <f>IFNA(VLOOKUP($F22,Home!$B$14:$I1000,MATCH(J$10,Home!$B$13:$I$13,0),FALSE))</f>
        <v/>
      </c>
      <c r="K22" s="2" t="str">
        <f>IFNA(VLOOKUP($F22,Home!$B$14:$I1000,MATCH(K$10,Home!$B$13:$I$13,0),FALSE))</f>
        <v/>
      </c>
      <c r="L22" s="16" t="str">
        <f>IFNA(VLOOKUP($F22,Home!$B$14:$I1000,MATCH(L$10,Home!$B$13:$I$13,0),FALSE))</f>
        <v/>
      </c>
      <c r="M22" s="2" t="str">
        <f>IFNA(VLOOKUP($F22,Home!$B$14:$I1000,MATCH(M$10,Home!$B$13:$I$13,0),FALSE))</f>
        <v/>
      </c>
    </row>
    <row r="23">
      <c r="A23" s="1">
        <v>13.0</v>
      </c>
      <c r="D23" s="2"/>
      <c r="F23" s="2"/>
      <c r="G23" s="2" t="str">
        <f>IFNA(VLOOKUP($F23,Home!$B$14:$I1000,MATCH(G$10,Home!$B$13:$I$13,0),FALSE))</f>
        <v/>
      </c>
      <c r="H23" s="2" t="str">
        <f>IFNA(VLOOKUP($F23,Home!$B$14:$I1000,MATCH(H$10,Home!$B$13:$I$13,0),FALSE))</f>
        <v/>
      </c>
      <c r="I23" s="2" t="str">
        <f>IFNA(VLOOKUP($F23,Home!$B$14:$I1000,MATCH(I$10,Home!$B$13:$I$13,0),FALSE))</f>
        <v/>
      </c>
      <c r="J23" s="2" t="str">
        <f>IFNA(VLOOKUP($F23,Home!$B$14:$I1000,MATCH(J$10,Home!$B$13:$I$13,0),FALSE))</f>
        <v/>
      </c>
      <c r="K23" s="2" t="str">
        <f>IFNA(VLOOKUP($F23,Home!$B$14:$I1000,MATCH(K$10,Home!$B$13:$I$13,0),FALSE))</f>
        <v/>
      </c>
      <c r="L23" s="16" t="str">
        <f>IFNA(VLOOKUP($F23,Home!$B$14:$I1000,MATCH(L$10,Home!$B$13:$I$13,0),FALSE))</f>
        <v/>
      </c>
      <c r="M23" s="2" t="str">
        <f>IFNA(VLOOKUP($F23,Home!$B$14:$I1000,MATCH(M$10,Home!$B$13:$I$13,0),FALSE))</f>
        <v/>
      </c>
    </row>
    <row r="24">
      <c r="A24" s="1">
        <v>14.0</v>
      </c>
      <c r="D24" s="2"/>
      <c r="F24" s="2"/>
      <c r="G24" s="2" t="str">
        <f>IFNA(VLOOKUP($F24,Home!$B$14:$I1000,MATCH(G$10,Home!$B$13:$I$13,0),FALSE))</f>
        <v/>
      </c>
      <c r="H24" s="2" t="str">
        <f>IFNA(VLOOKUP($F24,Home!$B$14:$I1000,MATCH(H$10,Home!$B$13:$I$13,0),FALSE))</f>
        <v/>
      </c>
      <c r="I24" s="2" t="str">
        <f>IFNA(VLOOKUP($F24,Home!$B$14:$I1000,MATCH(I$10,Home!$B$13:$I$13,0),FALSE))</f>
        <v/>
      </c>
      <c r="J24" s="2" t="str">
        <f>IFNA(VLOOKUP($F24,Home!$B$14:$I1000,MATCH(J$10,Home!$B$13:$I$13,0),FALSE))</f>
        <v/>
      </c>
      <c r="K24" s="2" t="str">
        <f>IFNA(VLOOKUP($F24,Home!$B$14:$I1000,MATCH(K$10,Home!$B$13:$I$13,0),FALSE))</f>
        <v/>
      </c>
      <c r="L24" s="16" t="str">
        <f>IFNA(VLOOKUP($F24,Home!$B$14:$I1000,MATCH(L$10,Home!$B$13:$I$13,0),FALSE))</f>
        <v/>
      </c>
      <c r="M24" s="2" t="str">
        <f>IFNA(VLOOKUP($F24,Home!$B$14:$I1000,MATCH(M$10,Home!$B$13:$I$13,0),FALSE))</f>
        <v/>
      </c>
    </row>
    <row r="25">
      <c r="A25" s="1">
        <v>15.0</v>
      </c>
      <c r="D25" s="2"/>
      <c r="F25" s="2"/>
      <c r="G25" s="2" t="str">
        <f>IFNA(VLOOKUP($F25,Home!$B$14:$I1000,MATCH(G$10,Home!$B$13:$I$13,0),FALSE))</f>
        <v/>
      </c>
      <c r="H25" s="2" t="str">
        <f>IFNA(VLOOKUP($F25,Home!$B$14:$I1000,MATCH(H$10,Home!$B$13:$I$13,0),FALSE))</f>
        <v/>
      </c>
      <c r="I25" s="2" t="str">
        <f>IFNA(VLOOKUP($F25,Home!$B$14:$I1000,MATCH(I$10,Home!$B$13:$I$13,0),FALSE))</f>
        <v/>
      </c>
      <c r="J25" s="2" t="str">
        <f>IFNA(VLOOKUP($F25,Home!$B$14:$I1000,MATCH(J$10,Home!$B$13:$I$13,0),FALSE))</f>
        <v/>
      </c>
      <c r="K25" s="2" t="str">
        <f>IFNA(VLOOKUP($F25,Home!$B$14:$I1000,MATCH(K$10,Home!$B$13:$I$13,0),FALSE))</f>
        <v/>
      </c>
      <c r="L25" s="16" t="str">
        <f>IFNA(VLOOKUP($F25,Home!$B$14:$I1000,MATCH(L$10,Home!$B$13:$I$13,0),FALSE))</f>
        <v/>
      </c>
      <c r="M25" s="2" t="str">
        <f>IFNA(VLOOKUP($F25,Home!$B$14:$I1000,MATCH(M$10,Home!$B$13:$I$13,0),FALSE))</f>
        <v/>
      </c>
    </row>
    <row r="26">
      <c r="A26" s="1">
        <v>16.0</v>
      </c>
      <c r="D26" s="2"/>
      <c r="F26" s="2"/>
      <c r="G26" s="2" t="str">
        <f>IFNA(VLOOKUP($F26,Home!$B$14:$I1000,MATCH(G$10,Home!$B$13:$I$13,0),FALSE))</f>
        <v/>
      </c>
      <c r="H26" s="2" t="str">
        <f>IFNA(VLOOKUP($F26,Home!$B$14:$I1000,MATCH(H$10,Home!$B$13:$I$13,0),FALSE))</f>
        <v/>
      </c>
      <c r="I26" s="2" t="str">
        <f>IFNA(VLOOKUP($F26,Home!$B$14:$I1000,MATCH(I$10,Home!$B$13:$I$13,0),FALSE))</f>
        <v/>
      </c>
      <c r="J26" s="2" t="str">
        <f>IFNA(VLOOKUP($F26,Home!$B$14:$I1000,MATCH(J$10,Home!$B$13:$I$13,0),FALSE))</f>
        <v/>
      </c>
      <c r="K26" s="2" t="str">
        <f>IFNA(VLOOKUP($F26,Home!$B$14:$I1000,MATCH(K$10,Home!$B$13:$I$13,0),FALSE))</f>
        <v/>
      </c>
      <c r="L26" s="16" t="str">
        <f>IFNA(VLOOKUP($F26,Home!$B$14:$I1000,MATCH(L$10,Home!$B$13:$I$13,0),FALSE))</f>
        <v/>
      </c>
      <c r="M26" s="2" t="str">
        <f>IFNA(VLOOKUP($F26,Home!$B$14:$I1000,MATCH(M$10,Home!$B$13:$I$13,0),FALSE))</f>
        <v/>
      </c>
    </row>
    <row r="27">
      <c r="A27" s="1">
        <v>17.0</v>
      </c>
      <c r="D27" s="2"/>
      <c r="F27" s="2"/>
      <c r="G27" s="2" t="str">
        <f>IFNA(VLOOKUP($F27,Home!$B$14:$I1000,MATCH(G$10,Home!$B$13:$I$13,0),FALSE))</f>
        <v/>
      </c>
      <c r="H27" s="2" t="str">
        <f>IFNA(VLOOKUP($F27,Home!$B$14:$I1000,MATCH(H$10,Home!$B$13:$I$13,0),FALSE))</f>
        <v/>
      </c>
      <c r="I27" s="2" t="str">
        <f>IFNA(VLOOKUP($F27,Home!$B$14:$I1000,MATCH(I$10,Home!$B$13:$I$13,0),FALSE))</f>
        <v/>
      </c>
      <c r="J27" s="2" t="str">
        <f>IFNA(VLOOKUP($F27,Home!$B$14:$I1000,MATCH(J$10,Home!$B$13:$I$13,0),FALSE))</f>
        <v/>
      </c>
      <c r="K27" s="2" t="str">
        <f>IFNA(VLOOKUP($F27,Home!$B$14:$I1000,MATCH(K$10,Home!$B$13:$I$13,0),FALSE))</f>
        <v/>
      </c>
      <c r="L27" s="16" t="str">
        <f>IFNA(VLOOKUP($F27,Home!$B$14:$I1000,MATCH(L$10,Home!$B$13:$I$13,0),FALSE))</f>
        <v/>
      </c>
      <c r="M27" s="2" t="str">
        <f>IFNA(VLOOKUP($F27,Home!$B$14:$I1000,MATCH(M$10,Home!$B$13:$I$13,0),FALSE))</f>
        <v/>
      </c>
    </row>
    <row r="28">
      <c r="A28" s="1">
        <v>18.0</v>
      </c>
      <c r="D28" s="2"/>
      <c r="F28" s="2"/>
      <c r="G28" s="2" t="str">
        <f>IFNA(VLOOKUP($F28,Home!$B$14:$I1000,MATCH(G$10,Home!$B$13:$I$13,0),FALSE))</f>
        <v/>
      </c>
      <c r="H28" s="2" t="str">
        <f>IFNA(VLOOKUP($F28,Home!$B$14:$I1000,MATCH(H$10,Home!$B$13:$I$13,0),FALSE))</f>
        <v/>
      </c>
      <c r="I28" s="2" t="str">
        <f>IFNA(VLOOKUP($F28,Home!$B$14:$I1000,MATCH(I$10,Home!$B$13:$I$13,0),FALSE))</f>
        <v/>
      </c>
      <c r="J28" s="2" t="str">
        <f>IFNA(VLOOKUP($F28,Home!$B$14:$I1000,MATCH(J$10,Home!$B$13:$I$13,0),FALSE))</f>
        <v/>
      </c>
      <c r="K28" s="2" t="str">
        <f>IFNA(VLOOKUP($F28,Home!$B$14:$I1000,MATCH(K$10,Home!$B$13:$I$13,0),FALSE))</f>
        <v/>
      </c>
      <c r="L28" s="16" t="str">
        <f>IFNA(VLOOKUP($F28,Home!$B$14:$I1000,MATCH(L$10,Home!$B$13:$I$13,0),FALSE))</f>
        <v/>
      </c>
      <c r="M28" s="2" t="str">
        <f>IFNA(VLOOKUP($F28,Home!$B$14:$I1000,MATCH(M$10,Home!$B$13:$I$13,0),FALSE))</f>
        <v/>
      </c>
    </row>
    <row r="29">
      <c r="A29" s="1">
        <v>19.0</v>
      </c>
      <c r="D29" s="2"/>
      <c r="F29" s="2"/>
      <c r="G29" s="2" t="str">
        <f>IFNA(VLOOKUP($F29,Home!$B$14:$I1000,MATCH(G$10,Home!$B$13:$I$13,0),FALSE))</f>
        <v/>
      </c>
      <c r="H29" s="2" t="str">
        <f>IFNA(VLOOKUP($F29,Home!$B$14:$I1000,MATCH(H$10,Home!$B$13:$I$13,0),FALSE))</f>
        <v/>
      </c>
      <c r="I29" s="2" t="str">
        <f>IFNA(VLOOKUP($F29,Home!$B$14:$I1000,MATCH(I$10,Home!$B$13:$I$13,0),FALSE))</f>
        <v/>
      </c>
      <c r="J29" s="2" t="str">
        <f>IFNA(VLOOKUP($F29,Home!$B$14:$I1000,MATCH(J$10,Home!$B$13:$I$13,0),FALSE))</f>
        <v/>
      </c>
      <c r="K29" s="2" t="str">
        <f>IFNA(VLOOKUP($F29,Home!$B$14:$I1000,MATCH(K$10,Home!$B$13:$I$13,0),FALSE))</f>
        <v/>
      </c>
      <c r="L29" s="16" t="str">
        <f>IFNA(VLOOKUP($F29,Home!$B$14:$I1000,MATCH(L$10,Home!$B$13:$I$13,0),FALSE))</f>
        <v/>
      </c>
      <c r="M29" s="2" t="str">
        <f>IFNA(VLOOKUP($F29,Home!$B$14:$I1000,MATCH(M$10,Home!$B$13:$I$13,0),FALSE))</f>
        <v/>
      </c>
    </row>
    <row r="30">
      <c r="A30" s="1">
        <v>20.0</v>
      </c>
      <c r="D30" s="2"/>
      <c r="F30" s="2"/>
      <c r="G30" s="2" t="str">
        <f>IFNA(VLOOKUP($F30,Home!$B$14:$I1000,MATCH(G$10,Home!$B$13:$I$13,0),FALSE))</f>
        <v/>
      </c>
      <c r="H30" s="2" t="str">
        <f>IFNA(VLOOKUP($F30,Home!$B$14:$I1000,MATCH(H$10,Home!$B$13:$I$13,0),FALSE))</f>
        <v/>
      </c>
      <c r="I30" s="2" t="str">
        <f>IFNA(VLOOKUP($F30,Home!$B$14:$I1000,MATCH(I$10,Home!$B$13:$I$13,0),FALSE))</f>
        <v/>
      </c>
      <c r="J30" s="2" t="str">
        <f>IFNA(VLOOKUP($F30,Home!$B$14:$I1000,MATCH(J$10,Home!$B$13:$I$13,0),FALSE))</f>
        <v/>
      </c>
      <c r="K30" s="2" t="str">
        <f>IFNA(VLOOKUP($F30,Home!$B$14:$I1000,MATCH(K$10,Home!$B$13:$I$13,0),FALSE))</f>
        <v/>
      </c>
      <c r="L30" s="16" t="str">
        <f>IFNA(VLOOKUP($F30,Home!$B$14:$I1000,MATCH(L$10,Home!$B$13:$I$13,0),FALSE))</f>
        <v/>
      </c>
      <c r="M30" s="2" t="str">
        <f>IFNA(VLOOKUP($F30,Home!$B$14:$I1000,MATCH(M$10,Home!$B$13:$I$13,0),FALSE))</f>
        <v/>
      </c>
    </row>
  </sheetData>
  <mergeCells count="5">
    <mergeCell ref="A2:E2"/>
    <mergeCell ref="B3:D3"/>
    <mergeCell ref="B4:D5"/>
    <mergeCell ref="B6:D6"/>
    <mergeCell ref="B7:D7"/>
  </mergeCells>
  <conditionalFormatting sqref="B6:D7">
    <cfRule type="containsBlanks" dxfId="0" priority="1">
      <formula>LEN(TRIM(B6))=0</formula>
    </cfRule>
  </conditionalFormatting>
  <dataValidations>
    <dataValidation type="list" allowBlank="1" showErrorMessage="1" sqref="D11:D30">
      <formula1>MoneyRates!$A$1:$A1000</formula1>
    </dataValidation>
    <dataValidation type="list" allowBlank="1" showErrorMessage="1" sqref="B7">
      <formula1>WorldFilter!$A$1:$A1000</formula1>
    </dataValidation>
    <dataValidation type="list" allowBlank="1" sqref="B6">
      <formula1>Worlds!$A$2:$A1000</formula1>
    </dataValidation>
    <dataValidation type="list" allowBlank="1" showErrorMessage="1" sqref="F11:F30">
      <formula1>Home!$B$14:$B1000</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17.0"/>
    <col customWidth="1" min="3" max="3" width="28.13"/>
    <col customWidth="1" min="4" max="4" width="16.0"/>
    <col customWidth="1" min="5" max="5" width="20.75"/>
    <col customWidth="1" min="6" max="6" width="15.63"/>
    <col customWidth="1" min="7" max="8" width="13.5"/>
    <col customWidth="1" min="9" max="9" width="14.38"/>
    <col hidden="1" min="20" max="28" width="12.63"/>
  </cols>
  <sheetData>
    <row r="1">
      <c r="A1" s="18"/>
      <c r="B1" s="19" t="s">
        <v>11</v>
      </c>
      <c r="C1" s="18"/>
      <c r="D1" s="18"/>
      <c r="E1" s="20"/>
      <c r="F1" s="20"/>
      <c r="G1" s="20"/>
      <c r="H1" s="20"/>
      <c r="I1" s="18"/>
      <c r="J1" s="18"/>
      <c r="K1" s="18"/>
      <c r="L1" s="18"/>
      <c r="M1" s="18"/>
      <c r="N1" s="18"/>
      <c r="O1" s="18"/>
      <c r="P1" s="21"/>
      <c r="Q1" s="18"/>
      <c r="R1" s="18"/>
      <c r="S1" s="18"/>
      <c r="T1" s="20"/>
      <c r="U1" s="18" t="s">
        <v>11</v>
      </c>
      <c r="V1" s="20" t="s">
        <v>12</v>
      </c>
      <c r="W1" s="18" t="s">
        <v>13</v>
      </c>
      <c r="X1" s="18" t="s">
        <v>14</v>
      </c>
      <c r="Y1" s="18" t="s">
        <v>15</v>
      </c>
      <c r="Z1" s="18" t="s">
        <v>16</v>
      </c>
      <c r="AA1" s="18" t="s">
        <v>17</v>
      </c>
      <c r="AB1" s="18"/>
      <c r="AC1" s="18"/>
      <c r="AD1" s="18"/>
      <c r="AE1" s="18"/>
      <c r="AF1" s="18"/>
      <c r="AG1" s="18"/>
      <c r="AH1" s="18"/>
      <c r="AI1" s="18"/>
      <c r="AJ1" s="18"/>
      <c r="AK1" s="18"/>
      <c r="AL1" s="18"/>
      <c r="AM1" s="18"/>
      <c r="AN1" s="18"/>
      <c r="AO1" s="18"/>
      <c r="AP1" s="18"/>
      <c r="AQ1" s="18"/>
      <c r="AR1" s="18"/>
    </row>
    <row r="2">
      <c r="A2" s="22" t="s">
        <v>20</v>
      </c>
      <c r="B2" s="23"/>
      <c r="C2" s="24" t="s">
        <v>12</v>
      </c>
      <c r="D2" s="19" t="s">
        <v>13</v>
      </c>
      <c r="E2" s="19" t="s">
        <v>14</v>
      </c>
      <c r="F2" s="19" t="s">
        <v>15</v>
      </c>
      <c r="G2" s="19" t="s">
        <v>16</v>
      </c>
      <c r="H2" s="25" t="s">
        <v>17</v>
      </c>
      <c r="I2" s="18"/>
      <c r="J2" s="18"/>
      <c r="K2" s="18"/>
      <c r="L2" s="18"/>
      <c r="M2" s="18"/>
      <c r="N2" s="18"/>
      <c r="O2" s="18"/>
      <c r="P2" s="18"/>
      <c r="Q2" s="18"/>
      <c r="R2" s="18"/>
      <c r="S2" s="18"/>
      <c r="T2" s="18"/>
      <c r="U2" s="18" t="str">
        <f>B2</f>
        <v/>
      </c>
      <c r="V2" s="18" t="str">
        <f>IFERROR(VLOOKUP($B$2,ItemEquipCombine!$A$2:$AH1002,MATCH("Description",ItemEquipCombine!$A$1:$AH$1,0),FALSE),"")</f>
        <v/>
      </c>
      <c r="W2" s="18" t="str">
        <f>IFERROR(VLOOKUP($B$2,ItemEquipCombine!$A$2:$AH1002,MATCH("Type",ItemEquipCombine!$A$1:$AH$1,0),FALSE),"")</f>
        <v/>
      </c>
      <c r="X2" s="18" t="str">
        <f>IFERROR(VLOOKUP($B$2,ItemEquipCombine!$A$2:$AH1002,MATCH("Slot",ItemEquipCombine!$A$1:$AH$1,0),FALSE),"")</f>
        <v/>
      </c>
      <c r="Y2" s="18" t="str">
        <f>IFERROR(VLOOKUP($B$2,ItemEquipCombine!$A$2:$AH1002,MATCH("Level Requirement",ItemEquipCombine!$A$1:$AH$1,0),FALSE),"")</f>
        <v/>
      </c>
      <c r="Z2" s="18" t="str">
        <f>IFERROR(VLOOKUP($B$2,ItemEquipCombine!$A$2:$AH1002,MATCH("Abilities",ItemEquipCombine!$A$1:$AH$1,0),FALSE),"")</f>
        <v/>
      </c>
      <c r="AA2" s="18" t="str">
        <f>IFERROR(VLOOKUP($B$2,ItemEquipCombine!$A$2:$AH1002,MATCH("Estimated Price",ItemEquipCombine!$A$1:$AH$1,0),FALSE),"")</f>
        <v/>
      </c>
      <c r="AB2" s="18"/>
      <c r="AC2" s="18"/>
      <c r="AD2" s="18"/>
      <c r="AE2" s="18"/>
      <c r="AF2" s="18"/>
      <c r="AG2" s="18"/>
      <c r="AH2" s="18"/>
      <c r="AI2" s="18"/>
      <c r="AJ2" s="18"/>
      <c r="AK2" s="18"/>
      <c r="AL2" s="18"/>
      <c r="AM2" s="18"/>
      <c r="AN2" s="18"/>
      <c r="AO2" s="18"/>
      <c r="AP2" s="18"/>
      <c r="AQ2" s="18"/>
      <c r="AR2" s="18"/>
    </row>
    <row r="3">
      <c r="A3" s="18" t="str">
        <f>IFERROR(__xludf.DUMMYFUNCTION("FILTER($T$2:$AA$2,1)"),"")</f>
        <v/>
      </c>
      <c r="B3" s="18"/>
      <c r="C3" s="18" t="str">
        <f>IFERROR(__xludf.DUMMYFUNCTION("""COMPUTED_VALUE"""),"")</f>
        <v/>
      </c>
      <c r="D3" s="18" t="str">
        <f>IFERROR(__xludf.DUMMYFUNCTION("""COMPUTED_VALUE"""),"")</f>
        <v/>
      </c>
      <c r="E3" s="18" t="str">
        <f>IFERROR(__xludf.DUMMYFUNCTION("""COMPUTED_VALUE"""),"")</f>
        <v/>
      </c>
      <c r="F3" s="18" t="str">
        <f>IFERROR(__xludf.DUMMYFUNCTION("""COMPUTED_VALUE"""),"")</f>
        <v/>
      </c>
      <c r="G3" s="18" t="str">
        <f>IFERROR(__xludf.DUMMYFUNCTION("""COMPUTED_VALUE"""),"")</f>
        <v/>
      </c>
      <c r="H3" s="26" t="str">
        <f>IFERROR(__xludf.DUMMYFUNCTION("""COMPUTED_VALUE"""),"")</f>
        <v/>
      </c>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row>
    <row r="5">
      <c r="A5" s="27"/>
      <c r="D5" s="27"/>
    </row>
    <row r="6">
      <c r="A6" s="15" t="s">
        <v>21</v>
      </c>
      <c r="B6" s="14" t="s">
        <v>22</v>
      </c>
      <c r="C6" s="19" t="s">
        <v>12</v>
      </c>
      <c r="D6" s="14" t="s">
        <v>23</v>
      </c>
      <c r="E6" s="14"/>
      <c r="F6" s="14" t="s">
        <v>24</v>
      </c>
      <c r="G6" s="19"/>
      <c r="H6" s="14"/>
      <c r="I6" s="14"/>
      <c r="J6" s="14"/>
    </row>
    <row r="7">
      <c r="A7" s="28" t="str">
        <f>HomeConfig!A2</f>
        <v/>
      </c>
      <c r="B7" s="2" t="str">
        <f>HomeConfig!C2</f>
        <v/>
      </c>
      <c r="C7" s="2" t="str">
        <f>HomeConfig!C1</f>
        <v/>
      </c>
      <c r="D7" s="29" t="str">
        <f>IFERROR(__xludf.DUMMYFUNCTION("TEXTJOIN(CHAR(10),TRUE,Unique(VSTACK(IFNA(QUERY(HomeConfig!C5:C21,""Select C where C &lt;&gt; ''"")),IFNA(QUERY(HomeConfig!A5:B21,""Select A where B = TRUE"")))))"),"")</f>
        <v/>
      </c>
      <c r="F7" s="16">
        <f>SUM(HomeConfig!V1:V60)</f>
        <v>0</v>
      </c>
      <c r="G7" s="1" t="s">
        <v>25</v>
      </c>
    </row>
    <row r="9">
      <c r="A9" s="30"/>
    </row>
    <row r="10">
      <c r="A10" s="30"/>
    </row>
    <row r="11">
      <c r="A11" s="30" t="s">
        <v>26</v>
      </c>
      <c r="B11" s="14" t="s">
        <v>27</v>
      </c>
    </row>
    <row r="12">
      <c r="A12" s="14" t="str">
        <f>"Storage: "&amp;counta(B14:B1002)&amp;"/"&amp;B12</f>
        <v>Storage: 0/0</v>
      </c>
      <c r="B12" s="1">
        <v>0.0</v>
      </c>
      <c r="C12" s="27"/>
    </row>
    <row r="13">
      <c r="A13" s="14" t="s">
        <v>28</v>
      </c>
      <c r="B13" s="14" t="s">
        <v>11</v>
      </c>
      <c r="C13" s="15" t="s">
        <v>12</v>
      </c>
      <c r="D13" s="14" t="s">
        <v>13</v>
      </c>
      <c r="E13" s="15" t="s">
        <v>14</v>
      </c>
      <c r="F13" s="14" t="s">
        <v>15</v>
      </c>
      <c r="G13" s="14" t="s">
        <v>16</v>
      </c>
      <c r="H13" s="14" t="s">
        <v>17</v>
      </c>
      <c r="I13" s="14" t="s">
        <v>18</v>
      </c>
    </row>
    <row r="14">
      <c r="H14" s="16"/>
    </row>
  </sheetData>
  <dataValidations>
    <dataValidation type="list" allowBlank="1" sqref="B2">
      <formula1>ItemEquipCombine!$A$2:$A1002</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 max="1" width="19.63"/>
    <col customWidth="1" min="2" max="2" width="17.0"/>
    <col customWidth="1" min="3" max="3" width="28.13"/>
    <col customWidth="1" min="4" max="4" width="16.0"/>
    <col customWidth="1" min="5" max="5" width="20.75"/>
    <col customWidth="1" min="6" max="6" width="15.63"/>
    <col customWidth="1" min="7" max="8" width="13.5"/>
    <col customWidth="1" min="9" max="9" width="14.38"/>
    <col hidden="1" min="20" max="28" width="12.63"/>
  </cols>
  <sheetData>
    <row r="1">
      <c r="A1" s="18"/>
      <c r="B1" s="19" t="s">
        <v>11</v>
      </c>
      <c r="C1" s="18"/>
      <c r="D1" s="18"/>
      <c r="E1" s="20"/>
      <c r="F1" s="20"/>
      <c r="G1" s="20"/>
      <c r="H1" s="20"/>
      <c r="I1" s="18"/>
      <c r="J1" s="18"/>
      <c r="K1" s="18"/>
      <c r="L1" s="18"/>
      <c r="M1" s="18"/>
      <c r="N1" s="18"/>
      <c r="O1" s="18"/>
      <c r="P1" s="21"/>
      <c r="Q1" s="18"/>
      <c r="R1" s="18"/>
      <c r="S1" s="18"/>
      <c r="T1" s="20"/>
      <c r="U1" s="18" t="s">
        <v>11</v>
      </c>
      <c r="V1" s="20" t="s">
        <v>12</v>
      </c>
      <c r="W1" s="18" t="s">
        <v>13</v>
      </c>
      <c r="X1" s="18" t="s">
        <v>14</v>
      </c>
      <c r="Y1" s="18" t="s">
        <v>15</v>
      </c>
      <c r="Z1" s="18" t="s">
        <v>16</v>
      </c>
      <c r="AA1" s="18" t="s">
        <v>17</v>
      </c>
      <c r="AB1" s="18"/>
      <c r="AC1" s="18"/>
      <c r="AD1" s="18"/>
      <c r="AE1" s="18"/>
      <c r="AF1" s="18"/>
      <c r="AG1" s="18"/>
      <c r="AH1" s="18"/>
      <c r="AI1" s="18"/>
      <c r="AJ1" s="18"/>
      <c r="AK1" s="18"/>
      <c r="AL1" s="18"/>
      <c r="AM1" s="18"/>
      <c r="AN1" s="18"/>
      <c r="AO1" s="18"/>
      <c r="AP1" s="18"/>
      <c r="AQ1" s="18"/>
      <c r="AR1" s="18"/>
    </row>
    <row r="2">
      <c r="A2" s="22" t="s">
        <v>20</v>
      </c>
      <c r="B2" s="23"/>
      <c r="C2" s="24" t="s">
        <v>12</v>
      </c>
      <c r="D2" s="19" t="s">
        <v>13</v>
      </c>
      <c r="E2" s="19" t="s">
        <v>14</v>
      </c>
      <c r="F2" s="19" t="s">
        <v>15</v>
      </c>
      <c r="G2" s="19" t="s">
        <v>16</v>
      </c>
      <c r="H2" s="25" t="s">
        <v>17</v>
      </c>
      <c r="I2" s="18"/>
      <c r="J2" s="18"/>
      <c r="K2" s="18"/>
      <c r="L2" s="18"/>
      <c r="M2" s="18"/>
      <c r="N2" s="18"/>
      <c r="O2" s="18"/>
      <c r="P2" s="18"/>
      <c r="Q2" s="18"/>
      <c r="R2" s="18"/>
      <c r="S2" s="18"/>
      <c r="T2" s="18"/>
      <c r="U2" s="18" t="str">
        <f>B2</f>
        <v/>
      </c>
      <c r="V2" s="18" t="str">
        <f>IFERROR(VLOOKUP($B$2,ItemEquipCombine!$A$2:$AH1002,MATCH("Description",ItemEquipCombine!$A$1:$AH$1,0),FALSE),"")</f>
        <v/>
      </c>
      <c r="W2" s="18" t="str">
        <f>IFERROR(VLOOKUP($B$2,ItemEquipCombine!$A$2:$AH1002,MATCH("Type",ItemEquipCombine!$A$1:$AH$1,0),FALSE),"")</f>
        <v/>
      </c>
      <c r="X2" s="18" t="str">
        <f>IFERROR(VLOOKUP($B$2,ItemEquipCombine!$A$2:$AH1002,MATCH("Slot",ItemEquipCombine!$A$1:$AH$1,0),FALSE),"")</f>
        <v/>
      </c>
      <c r="Y2" s="18" t="str">
        <f>IFERROR(VLOOKUP($B$2,ItemEquipCombine!$A$2:$AH1002,MATCH("Level Requirement",ItemEquipCombine!$A$1:$AH$1,0),FALSE),"")</f>
        <v/>
      </c>
      <c r="Z2" s="18" t="str">
        <f>IFERROR(VLOOKUP($B$2,ItemEquipCombine!$A$2:$AH1002,MATCH("Abilities",ItemEquipCombine!$A$1:$AH$1,0),FALSE),"")</f>
        <v/>
      </c>
      <c r="AA2" s="18" t="str">
        <f>IFERROR(VLOOKUP($B$2,ItemEquipCombine!$A$2:$AH1002,MATCH("Estimated Price",ItemEquipCombine!$A$1:$AH$1,0),FALSE),"")</f>
        <v/>
      </c>
      <c r="AB2" s="18"/>
      <c r="AC2" s="18"/>
      <c r="AD2" s="18"/>
      <c r="AE2" s="18"/>
      <c r="AF2" s="18"/>
      <c r="AG2" s="18"/>
      <c r="AH2" s="18"/>
      <c r="AI2" s="18"/>
      <c r="AJ2" s="18"/>
      <c r="AK2" s="18"/>
      <c r="AL2" s="18"/>
      <c r="AM2" s="18"/>
      <c r="AN2" s="18"/>
      <c r="AO2" s="18"/>
      <c r="AP2" s="18"/>
      <c r="AQ2" s="18"/>
      <c r="AR2" s="18"/>
    </row>
    <row r="3">
      <c r="A3" s="18" t="str">
        <f>IFERROR(__xludf.DUMMYFUNCTION("FILTER($T$2:$AA$2,1)"),"")</f>
        <v/>
      </c>
      <c r="B3" s="18"/>
      <c r="C3" s="18" t="str">
        <f>IFERROR(__xludf.DUMMYFUNCTION("""COMPUTED_VALUE"""),"")</f>
        <v/>
      </c>
      <c r="D3" s="18" t="str">
        <f>IFERROR(__xludf.DUMMYFUNCTION("""COMPUTED_VALUE"""),"")</f>
        <v/>
      </c>
      <c r="E3" s="18" t="str">
        <f>IFERROR(__xludf.DUMMYFUNCTION("""COMPUTED_VALUE"""),"")</f>
        <v/>
      </c>
      <c r="F3" s="18" t="str">
        <f>IFERROR(__xludf.DUMMYFUNCTION("""COMPUTED_VALUE"""),"")</f>
        <v/>
      </c>
      <c r="G3" s="18" t="str">
        <f>IFERROR(__xludf.DUMMYFUNCTION("""COMPUTED_VALUE"""),"")</f>
        <v/>
      </c>
      <c r="H3" s="26" t="str">
        <f>IFERROR(__xludf.DUMMYFUNCTION("""COMPUTED_VALUE"""),"")</f>
        <v/>
      </c>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row>
    <row r="5">
      <c r="A5" s="27"/>
      <c r="D5" s="27"/>
    </row>
    <row r="6">
      <c r="A6" s="15" t="s">
        <v>21</v>
      </c>
      <c r="B6" s="14" t="s">
        <v>22</v>
      </c>
      <c r="C6" s="19" t="s">
        <v>12</v>
      </c>
      <c r="D6" s="14" t="s">
        <v>23</v>
      </c>
      <c r="E6" s="14"/>
      <c r="F6" s="14" t="s">
        <v>24</v>
      </c>
      <c r="G6" s="19"/>
      <c r="H6" s="14"/>
      <c r="I6" s="14"/>
      <c r="J6" s="14"/>
    </row>
    <row r="7">
      <c r="A7" s="28" t="str">
        <f>HomeConfig!A2</f>
        <v/>
      </c>
      <c r="B7" s="2" t="str">
        <f>HomeConfig!C2</f>
        <v/>
      </c>
      <c r="C7" s="2" t="str">
        <f>HomeConfig!C1</f>
        <v/>
      </c>
      <c r="D7" s="29" t="str">
        <f>IFERROR(__xludf.DUMMYFUNCTION("TEXTJOIN(CHAR(10),TRUE,Unique(VSTACK(IFNA(QUERY(HomeConfig!C5:C21,""Select C where C &lt;&gt; ''"")),IFNA(QUERY(HomeConfig!A5:B21,""Select A where B = TRUE"")))))"),"")</f>
        <v/>
      </c>
      <c r="F7" s="16">
        <f>SUM(HomeConfig!V1:V60)</f>
        <v>0</v>
      </c>
      <c r="G7" s="1" t="s">
        <v>25</v>
      </c>
    </row>
    <row r="9">
      <c r="A9" s="30"/>
    </row>
    <row r="10">
      <c r="A10" s="30"/>
    </row>
    <row r="11">
      <c r="A11" s="30" t="s">
        <v>26</v>
      </c>
      <c r="B11" s="14" t="s">
        <v>27</v>
      </c>
    </row>
    <row r="12">
      <c r="A12" s="14" t="str">
        <f>"Storage: "&amp;counta(B14:B1002)&amp;"/"&amp;B12</f>
        <v>Storage: 0/10</v>
      </c>
      <c r="B12" s="1">
        <v>10.0</v>
      </c>
      <c r="C12" s="27"/>
    </row>
    <row r="13">
      <c r="A13" s="14" t="s">
        <v>28</v>
      </c>
      <c r="B13" s="14" t="s">
        <v>11</v>
      </c>
      <c r="C13" s="15" t="s">
        <v>12</v>
      </c>
      <c r="D13" s="14" t="s">
        <v>13</v>
      </c>
      <c r="E13" s="15" t="s">
        <v>14</v>
      </c>
      <c r="F13" s="14" t="s">
        <v>15</v>
      </c>
      <c r="G13" s="14" t="s">
        <v>16</v>
      </c>
      <c r="H13" s="14" t="s">
        <v>17</v>
      </c>
      <c r="I13" s="14" t="s">
        <v>18</v>
      </c>
    </row>
    <row r="14">
      <c r="H14" s="16"/>
    </row>
  </sheetData>
  <dataValidations>
    <dataValidation type="list" allowBlank="1" sqref="B2">
      <formula1>ItemEquipCombine!$A$2:$A1002</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17.75"/>
  </cols>
  <sheetData>
    <row r="1">
      <c r="C1" s="1" t="s">
        <v>29</v>
      </c>
    </row>
    <row r="2">
      <c r="B2" s="1" t="s">
        <v>19</v>
      </c>
      <c r="C2" s="31" t="s">
        <v>30</v>
      </c>
      <c r="D2" s="1" t="s">
        <v>19</v>
      </c>
    </row>
    <row r="3">
      <c r="B3" s="32">
        <v>100.0</v>
      </c>
      <c r="C3" s="31" t="s">
        <v>31</v>
      </c>
      <c r="D3" s="16">
        <f>(B3*(1/value(VLOOKUP(B2,MoneyRates!A:B,2,FALSE))))*value(VLOOKUP(D2,MoneyRates!A:B,2,FALSE))</f>
        <v>100</v>
      </c>
    </row>
    <row r="5">
      <c r="A5" s="14" t="s">
        <v>32</v>
      </c>
    </row>
    <row r="6">
      <c r="A6" s="1" t="s">
        <v>33</v>
      </c>
      <c r="B6" s="32">
        <v>0.0</v>
      </c>
    </row>
    <row r="7">
      <c r="A7" s="1" t="s">
        <v>34</v>
      </c>
      <c r="B7" s="32">
        <v>0.0</v>
      </c>
    </row>
    <row r="8">
      <c r="A8" s="1" t="s">
        <v>35</v>
      </c>
      <c r="B8" s="32">
        <v>0.0</v>
      </c>
    </row>
    <row r="9">
      <c r="A9" s="1" t="s">
        <v>36</v>
      </c>
      <c r="B9" s="32">
        <v>0.0</v>
      </c>
    </row>
    <row r="10">
      <c r="A10" s="1" t="s">
        <v>37</v>
      </c>
      <c r="B10" s="32">
        <v>0.0</v>
      </c>
    </row>
    <row r="11">
      <c r="A11" s="1" t="s">
        <v>38</v>
      </c>
      <c r="B11" s="32">
        <v>0.0</v>
      </c>
    </row>
    <row r="12">
      <c r="B12" s="32"/>
    </row>
    <row r="13">
      <c r="B13" s="32"/>
    </row>
    <row r="14">
      <c r="B14" s="32"/>
    </row>
    <row r="15">
      <c r="B15" s="32"/>
    </row>
  </sheetData>
  <mergeCells count="1">
    <mergeCell ref="A5:B5"/>
  </mergeCells>
  <dataValidations>
    <dataValidation type="decimal" operator="lessThanOrEqual" allowBlank="1" showDropDown="1" showInputMessage="1" showErrorMessage="1" prompt="You can only hold less than $900,000,000,000" sqref="B6:B15">
      <formula1>9.0E11</formula1>
    </dataValidation>
    <dataValidation type="list" allowBlank="1" sqref="B2 D2">
      <formula1>MoneyRates!$A$1:$A$15</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25"/>
    <col customWidth="1" min="3" max="3" width="25.13"/>
    <col hidden="1" min="18" max="25" width="12.63"/>
  </cols>
  <sheetData>
    <row r="1">
      <c r="A1" s="14" t="s">
        <v>39</v>
      </c>
      <c r="B1" s="27" t="s">
        <v>2</v>
      </c>
      <c r="U1" s="2" t="str">
        <f>A2</f>
        <v/>
      </c>
      <c r="V1" s="2" t="str">
        <f>IFNA(VLOOKUP($U1,HouseTypes!$A$2:$Z1000,MATCH("Cost",HouseTypes!$A$1:$Z$1,0),FALSE))</f>
        <v/>
      </c>
    </row>
    <row r="2">
      <c r="A2" s="2"/>
      <c r="B2" s="27" t="s">
        <v>40</v>
      </c>
      <c r="U2" s="2" t="str">
        <f>IFERROR(__xludf.DUMMYFUNCTION("Unique(VSTACK(IFNA(QUERY(HomeConfig!C5:C21,""Select C where C &lt;&gt; ''"")),IFNA(QUERY(HomeConfig!A5:B21,""Select A where B = TRUE""))))"),"")</f>
        <v/>
      </c>
      <c r="V2" s="2" t="str">
        <f>IFNA(VLOOKUP($U2,HousingServices!$A$2:$C1000,MATCH("Cost",HousingServices!$A$1:$Z$1,0),FALSE))</f>
        <v/>
      </c>
      <c r="W2" s="2" t="str">
        <f t="array" ref="W2:W1000">HousingServices!A2:A1000</f>
        <v>Additional Storage</v>
      </c>
      <c r="X2" s="2" t="str">
        <f>IFNA(Vlookup($A$2,HouseTypes!$A$2:$Z1000,MATCH($W2,HouseTypes!$A$1:$Z$1,0),FALSE))</f>
        <v/>
      </c>
    </row>
    <row r="3">
      <c r="A3" s="33" t="s">
        <v>41</v>
      </c>
      <c r="B3" s="2" t="b">
        <f>IFNA(IF(VLOOKUP($A$2,HouseTypes!$A$2:$Z1000,MATCH("Type",HouseTypes!$A$1:$Z$1,FALSE),FALSE)="Shop",TRUE,FALSE),FALSE)</f>
        <v>0</v>
      </c>
      <c r="V3" s="2" t="str">
        <f>IFNA(VLOOKUP($U3,HousingServices!$A$2:$C1000,MATCH("Cost",HousingServices!$A$1:$Z$1,0),FALSE))</f>
        <v/>
      </c>
      <c r="W3" s="2" t="s">
        <v>42</v>
      </c>
      <c r="X3" s="2" t="str">
        <f>IFNA(Vlookup($A$2,HouseTypes!$A$2:$Z1000,MATCH($W3,HouseTypes!$A$1:$Z$1,0),FALSE))</f>
        <v/>
      </c>
    </row>
    <row r="4">
      <c r="A4" s="14" t="s">
        <v>43</v>
      </c>
      <c r="C4" s="34" t="s">
        <v>44</v>
      </c>
      <c r="V4" s="2" t="str">
        <f>IFNA(VLOOKUP($U4,HousingServices!$A$2:$C1000,MATCH("Cost",HousingServices!$A$1:$Z$1,0),FALSE))</f>
        <v/>
      </c>
      <c r="W4" s="2" t="s">
        <v>45</v>
      </c>
      <c r="X4" s="2" t="str">
        <f>IFNA(Vlookup($A$2,HouseTypes!$A$2:$Z1000,MATCH($W4,HouseTypes!$A$1:$Z$1,0),FALSE))</f>
        <v/>
      </c>
    </row>
    <row r="5">
      <c r="A5" s="2" t="s">
        <v>46</v>
      </c>
      <c r="B5" s="2" t="b">
        <v>0</v>
      </c>
      <c r="C5" s="2" t="str">
        <f>IFERROR(__xludf.DUMMYFUNCTION("IFNA(Filter($W$2:$W$50,$X$2:$X$50))"),"")</f>
        <v/>
      </c>
      <c r="S5" s="2" t="str">
        <f>AND(iF(VLOOKUP($A$2,HouseTypes!$A$2:$Z1000,MATCH("Upgradeable",HouseTypes!$A$1:$Z$1,0),FALSE),FALSE,TRUE),B5)</f>
        <v>#N/A</v>
      </c>
      <c r="V5" s="2" t="str">
        <f>IFNA(VLOOKUP($U5,HousingServices!$A$2:$C1000,MATCH("Cost",HousingServices!$A$1:$Z$1,0),FALSE))</f>
        <v/>
      </c>
      <c r="W5" s="2" t="s">
        <v>47</v>
      </c>
      <c r="X5" s="2" t="str">
        <f>IFNA(Vlookup($A$2,HouseTypes!$A$2:$Z1000,MATCH($W5,HouseTypes!$A$1:$Z$1,0),FALSE))</f>
        <v/>
      </c>
    </row>
    <row r="6">
      <c r="A6" s="2" t="s">
        <v>42</v>
      </c>
      <c r="B6" s="2" t="b">
        <v>0</v>
      </c>
      <c r="S6" s="2" t="str">
        <f>AND(iF(VLOOKUP($A$2,HouseTypes!$A$2:$Z1000,MATCH("Upgradeable",HouseTypes!$A$1:$Z$1,0),FALSE),FALSE,TRUE),B6)</f>
        <v>#N/A</v>
      </c>
      <c r="V6" s="2" t="str">
        <f>IFNA(VLOOKUP($U6,HousingServices!$A$2:$C1000,MATCH("Cost",HousingServices!$A$1:$Z$1,0),FALSE))</f>
        <v/>
      </c>
      <c r="W6" s="2" t="s">
        <v>48</v>
      </c>
      <c r="X6" s="2" t="str">
        <f>IFNA(Vlookup($A$2,HouseTypes!$A$2:$Z1000,MATCH($W6,HouseTypes!$A$1:$Z$1,0),FALSE))</f>
        <v/>
      </c>
    </row>
    <row r="7">
      <c r="A7" s="2" t="s">
        <v>45</v>
      </c>
      <c r="B7" s="2" t="b">
        <v>0</v>
      </c>
      <c r="S7" s="2" t="str">
        <f>AND(iF(VLOOKUP($A$2,HouseTypes!$A$2:$Z1000,MATCH("Upgradeable",HouseTypes!$A$1:$Z$1,0),FALSE),FALSE,TRUE),B7)</f>
        <v>#N/A</v>
      </c>
      <c r="V7" s="2" t="str">
        <f>IFNA(VLOOKUP($U7,HousingServices!$A$2:$C1000,MATCH("Cost",HousingServices!$A$1:$Z$1,0),FALSE))</f>
        <v/>
      </c>
      <c r="W7" s="2" t="s">
        <v>49</v>
      </c>
      <c r="X7" s="2" t="str">
        <f>IFNA(Vlookup($A$2,HouseTypes!$A$2:$Z1000,MATCH($W7,HouseTypes!$A$1:$Z$1,0),FALSE))</f>
        <v/>
      </c>
    </row>
    <row r="8">
      <c r="A8" s="2" t="s">
        <v>47</v>
      </c>
      <c r="B8" s="2" t="b">
        <v>0</v>
      </c>
      <c r="S8" s="2" t="str">
        <f>AND(iF(VLOOKUP($A$2,HouseTypes!$A$2:$Z1000,MATCH("Upgradeable",HouseTypes!$A$1:$Z$1,0),FALSE),FALSE,TRUE),B8)</f>
        <v>#N/A</v>
      </c>
      <c r="V8" s="2" t="str">
        <f>IFNA(VLOOKUP($U8,HousingServices!$A$2:$C1000,MATCH("Cost",HousingServices!$A$1:$Z$1,0),FALSE))</f>
        <v/>
      </c>
      <c r="W8" s="2" t="s">
        <v>50</v>
      </c>
      <c r="X8" s="2" t="str">
        <f>IFNA(Vlookup($A$2,HouseTypes!$A$2:$Z1000,MATCH($W8,HouseTypes!$A$1:$Z$1,0),FALSE))</f>
        <v/>
      </c>
    </row>
    <row r="9">
      <c r="A9" s="2" t="s">
        <v>48</v>
      </c>
      <c r="B9" s="2" t="b">
        <v>0</v>
      </c>
      <c r="S9" s="2" t="str">
        <f>AND(iF(VLOOKUP($A$2,HouseTypes!$A$2:$Z1000,MATCH("Upgradeable",HouseTypes!$A$1:$Z$1,0),FALSE),FALSE,TRUE),B9)</f>
        <v>#N/A</v>
      </c>
      <c r="V9" s="2" t="str">
        <f>IFNA(VLOOKUP($U9,HousingServices!$A$2:$C1000,MATCH("Cost",HousingServices!$A$1:$Z$1,0),FALSE))</f>
        <v/>
      </c>
      <c r="W9" s="2" t="s">
        <v>51</v>
      </c>
      <c r="X9" s="2" t="str">
        <f>IFNA(Vlookup($A$2,HouseTypes!$A$2:$Z1000,MATCH($W9,HouseTypes!$A$1:$Z$1,0),FALSE))</f>
        <v/>
      </c>
    </row>
    <row r="10">
      <c r="A10" s="2" t="s">
        <v>49</v>
      </c>
      <c r="B10" s="2" t="b">
        <v>0</v>
      </c>
      <c r="S10" s="2" t="str">
        <f>AND(iF(VLOOKUP($A$2,HouseTypes!$A$2:$Z1000,MATCH("Upgradeable",HouseTypes!$A$1:$Z$1,0),FALSE),FALSE,TRUE),B10)</f>
        <v>#N/A</v>
      </c>
      <c r="V10" s="2" t="str">
        <f>IFNA(VLOOKUP($U10,HousingServices!$A$2:$C1000,MATCH("Cost",HousingServices!$A$1:$Z$1,0),FALSE))</f>
        <v/>
      </c>
      <c r="W10" s="2" t="s">
        <v>52</v>
      </c>
      <c r="X10" s="2" t="str">
        <f>IFNA(Vlookup($A$2,HouseTypes!$A$2:$Z1000,MATCH($W10,HouseTypes!$A$1:$Z$1,0),FALSE))</f>
        <v/>
      </c>
    </row>
    <row r="11">
      <c r="A11" s="2" t="s">
        <v>50</v>
      </c>
      <c r="B11" s="2" t="b">
        <v>0</v>
      </c>
      <c r="S11" s="2" t="str">
        <f>AND(iF(VLOOKUP($A$2,HouseTypes!$A$2:$Z1000,MATCH("Upgradeable",HouseTypes!$A$1:$Z$1,0),FALSE),FALSE,TRUE),B11)</f>
        <v>#N/A</v>
      </c>
      <c r="V11" s="2" t="str">
        <f>IFNA(VLOOKUP($U11,HousingServices!$A$2:$C1000,MATCH("Cost",HousingServices!$A$1:$Z$1,0),FALSE))</f>
        <v/>
      </c>
      <c r="W11" s="2" t="s">
        <v>53</v>
      </c>
      <c r="X11" s="2" t="str">
        <f>IFNA(Vlookup($A$2,HouseTypes!$A$2:$Z1000,MATCH($W11,HouseTypes!$A$1:$Z$1,0),FALSE))</f>
        <v/>
      </c>
    </row>
    <row r="12">
      <c r="A12" s="2" t="s">
        <v>51</v>
      </c>
      <c r="B12" s="2" t="b">
        <v>0</v>
      </c>
      <c r="S12" s="2" t="str">
        <f>AND(iF(VLOOKUP($A$2,HouseTypes!$A$2:$Z1000,MATCH("Upgradeable",HouseTypes!$A$1:$Z$1,0),FALSE),FALSE,TRUE),B12)</f>
        <v>#N/A</v>
      </c>
      <c r="V12" s="2" t="str">
        <f>IFNA(VLOOKUP($U12,HousingServices!$A$2:$C1000,MATCH("Cost",HousingServices!$A$1:$Z$1,0),FALSE))</f>
        <v/>
      </c>
      <c r="W12" s="2" t="s">
        <v>54</v>
      </c>
      <c r="X12" s="2" t="str">
        <f>IFNA(Vlookup($A$2,HouseTypes!$A$2:$Z1000,MATCH($W12,HouseTypes!$A$1:$Z$1,0),FALSE))</f>
        <v/>
      </c>
    </row>
    <row r="13">
      <c r="A13" s="2" t="s">
        <v>52</v>
      </c>
      <c r="B13" s="2" t="b">
        <v>0</v>
      </c>
      <c r="S13" s="2" t="str">
        <f>AND(iF(VLOOKUP($A$2,HouseTypes!$A$2:$Z1000,MATCH("Upgradeable",HouseTypes!$A$1:$Z$1,0),FALSE),FALSE,TRUE),B13)</f>
        <v>#N/A</v>
      </c>
      <c r="V13" s="2" t="str">
        <f>IFNA(VLOOKUP($U13,HousingServices!$A$2:$C1000,MATCH("Cost",HousingServices!$A$1:$Z$1,0),FALSE))</f>
        <v/>
      </c>
      <c r="W13" s="2" t="s">
        <v>55</v>
      </c>
      <c r="X13" s="2" t="str">
        <f>IFNA(Vlookup($A$2,HouseTypes!$A$2:$Z1000,MATCH($W13,HouseTypes!$A$1:$Z$1,0),FALSE))</f>
        <v/>
      </c>
    </row>
    <row r="14">
      <c r="A14" s="2" t="s">
        <v>53</v>
      </c>
      <c r="B14" s="2" t="b">
        <v>0</v>
      </c>
      <c r="S14" s="2" t="str">
        <f>AND(iF(VLOOKUP($A$2,HouseTypes!$A$2:$Z1000,MATCH("Upgradeable",HouseTypes!$A$1:$Z$1,0),FALSE),FALSE,TRUE),B14)</f>
        <v>#N/A</v>
      </c>
      <c r="V14" s="2" t="str">
        <f>IFNA(VLOOKUP($U14,HousingServices!$A$2:$C1000,MATCH("Cost",HousingServices!$A$1:$Z$1,0),FALSE))</f>
        <v/>
      </c>
      <c r="W14" s="2" t="s">
        <v>56</v>
      </c>
      <c r="X14" s="2" t="str">
        <f>IFNA(Vlookup($A$2,HouseTypes!$A$2:$Z1000,MATCH($W14,HouseTypes!$A$1:$Z$1,0),FALSE))</f>
        <v/>
      </c>
    </row>
    <row r="15">
      <c r="A15" s="2" t="s">
        <v>54</v>
      </c>
      <c r="B15" s="2" t="b">
        <v>0</v>
      </c>
      <c r="S15" s="2" t="str">
        <f>AND(iF(VLOOKUP($A$2,HouseTypes!$A$2:$Z1000,MATCH("Upgradeable",HouseTypes!$A$1:$Z$1,0),FALSE),FALSE,TRUE),B15)</f>
        <v>#N/A</v>
      </c>
      <c r="V15" s="2" t="str">
        <f>IFNA(VLOOKUP($U15,HousingServices!$A$2:$C1000,MATCH("Cost",HousingServices!$A$1:$Z$1,0),FALSE))</f>
        <v/>
      </c>
      <c r="W15" s="2"/>
      <c r="X15" s="2" t="str">
        <f>IFNA(Vlookup($A$2,HouseTypes!$A$2:$Z1000,MATCH($W15,HouseTypes!$A$1:$Z$1,0),FALSE))</f>
        <v/>
      </c>
    </row>
    <row r="16">
      <c r="A16" s="2" t="s">
        <v>55</v>
      </c>
      <c r="B16" s="2" t="b">
        <v>0</v>
      </c>
      <c r="S16" s="2" t="str">
        <f>AND(iF(VLOOKUP($A$2,HouseTypes!$A$2:$Z1000,MATCH("Upgradeable",HouseTypes!$A$1:$Z$1,0),FALSE),FALSE,TRUE),B16)</f>
        <v>#N/A</v>
      </c>
      <c r="V16" s="2" t="str">
        <f>IFNA(VLOOKUP($U16,HousingServices!$A$2:$C1000,MATCH("Cost",HousingServices!$A$1:$Z$1,0),FALSE))</f>
        <v/>
      </c>
      <c r="W16" s="2"/>
      <c r="X16" s="2" t="str">
        <f>IFNA(Vlookup($A$2,HouseTypes!$A$2:$Z1000,MATCH($W16,HouseTypes!$A$1:$Z$1,0),FALSE))</f>
        <v/>
      </c>
    </row>
    <row r="17">
      <c r="A17" s="2" t="s">
        <v>56</v>
      </c>
      <c r="B17" s="2" t="b">
        <v>0</v>
      </c>
      <c r="S17" s="2" t="str">
        <f>AND(iF(VLOOKUP($A$2,HouseTypes!$A$2:$Z1000,MATCH("Upgradeable",HouseTypes!$A$1:$Z$1,0),FALSE),FALSE,TRUE),B17)</f>
        <v>#N/A</v>
      </c>
      <c r="V17" s="2" t="str">
        <f>IFNA(VLOOKUP($U17,HousingServices!$A$2:$C1000,MATCH("Cost",HousingServices!$A$1:$Z$1,0),FALSE))</f>
        <v/>
      </c>
      <c r="W17" s="2"/>
      <c r="X17" s="2" t="str">
        <f>IFNA(Vlookup($A$2,HouseTypes!$A$2:$Z1000,MATCH($W17,HouseTypes!$A$1:$Z$1,0),FALSE))</f>
        <v/>
      </c>
    </row>
    <row r="18">
      <c r="A18" s="2"/>
      <c r="B18" s="2" t="b">
        <v>0</v>
      </c>
      <c r="S18" s="2" t="str">
        <f>AND(iF(VLOOKUP($A$2,HouseTypes!$A$2:$Z1000,MATCH("Upgradeable",HouseTypes!$A$1:$Z$1,0),FALSE),FALSE,TRUE),B18)</f>
        <v>#N/A</v>
      </c>
      <c r="V18" s="2" t="str">
        <f>IFNA(VLOOKUP($U18,HousingServices!$A$2:$C1000,MATCH("Cost",HousingServices!$A$1:$Z$1,0),FALSE))</f>
        <v/>
      </c>
      <c r="W18" s="2"/>
      <c r="X18" s="2" t="str">
        <f>IFNA(Vlookup($A$2,HouseTypes!$A$2:$Z1000,MATCH($W18,HouseTypes!$A$1:$Z$1,0),FALSE))</f>
        <v/>
      </c>
    </row>
    <row r="19">
      <c r="A19" s="2"/>
      <c r="B19" s="2" t="b">
        <v>0</v>
      </c>
      <c r="S19" s="2" t="str">
        <f>AND(iF(VLOOKUP($A$2,HouseTypes!$A$2:$Z1000,MATCH("Upgradeable",HouseTypes!$A$1:$Z$1,0),FALSE),FALSE,TRUE),B19)</f>
        <v>#N/A</v>
      </c>
      <c r="V19" s="2" t="str">
        <f>IFNA(VLOOKUP($U19,HousingServices!$A$2:$C1000,MATCH("Cost",HousingServices!$A$1:$Z$1,0),FALSE))</f>
        <v/>
      </c>
      <c r="W19" s="2"/>
      <c r="X19" s="2" t="str">
        <f>IFNA(Vlookup($A$2,HouseTypes!$A$2:$Z1000,MATCH($W19,HouseTypes!$A$1:$Z$1,0),FALSE))</f>
        <v/>
      </c>
    </row>
    <row r="20">
      <c r="A20" s="2"/>
      <c r="B20" s="2" t="b">
        <v>0</v>
      </c>
      <c r="S20" s="2" t="str">
        <f>AND(iF(VLOOKUP($A$2,HouseTypes!$A$2:$Z1000,MATCH("Upgradeable",HouseTypes!$A$1:$Z$1,0),FALSE),FALSE,TRUE),B20)</f>
        <v>#N/A</v>
      </c>
      <c r="V20" s="2" t="str">
        <f>IFNA(VLOOKUP($U20,HousingServices!$A$2:$C1000,MATCH("Cost",HousingServices!$A$1:$Z$1,0),FALSE))</f>
        <v/>
      </c>
      <c r="W20" s="2"/>
      <c r="X20" s="2" t="str">
        <f>IFNA(Vlookup($A$2,HouseTypes!$A$2:$Z1000,MATCH($W20,HouseTypes!$A$1:$Z$1,0),FALSE))</f>
        <v/>
      </c>
    </row>
    <row r="21">
      <c r="A21" s="2"/>
      <c r="B21" s="2" t="b">
        <v>0</v>
      </c>
      <c r="S21" s="2" t="str">
        <f>AND(iF(VLOOKUP($A$2,HouseTypes!$A$2:$Z1000,MATCH("Upgradeable",HouseTypes!$A$1:$Z$1,0),FALSE),FALSE,TRUE),B21)</f>
        <v>#N/A</v>
      </c>
      <c r="V21" s="2" t="str">
        <f>IFNA(VLOOKUP($U21,HousingServices!$A$2:$C1000,MATCH("Cost",HousingServices!$A$1:$Z$1,0),FALSE))</f>
        <v/>
      </c>
      <c r="W21" s="2"/>
      <c r="X21" s="2" t="str">
        <f>IFNA(Vlookup($A$2,HouseTypes!$A$2:$Z1000,MATCH($W21,HouseTypes!$A$1:$Z$1,0),FALSE))</f>
        <v/>
      </c>
    </row>
    <row r="22">
      <c r="A22" s="2"/>
      <c r="B22" s="2" t="b">
        <v>0</v>
      </c>
      <c r="V22" s="2" t="str">
        <f>IFNA(VLOOKUP($U22,HousingServices!$A$2:$C1000,MATCH("Cost",HousingServices!$A$1:$Z$1,0),FALSE))</f>
        <v/>
      </c>
      <c r="W22" s="2"/>
      <c r="X22" s="2" t="str">
        <f>IFNA(Vlookup($A$2,HouseTypes!$A$2:$Z1000,MATCH($W22,HouseTypes!$A$1:$Z$1,0),FALSE))</f>
        <v/>
      </c>
    </row>
    <row r="23">
      <c r="A23" s="2"/>
      <c r="B23" s="2" t="b">
        <v>0</v>
      </c>
      <c r="V23" s="2" t="str">
        <f>IFNA(VLOOKUP($U23,HousingServices!$A$2:$C1000,MATCH("Cost",HousingServices!$A$1:$Z$1,0),FALSE))</f>
        <v/>
      </c>
      <c r="W23" s="2"/>
      <c r="X23" s="2" t="str">
        <f>IFNA(Vlookup($A$2,HouseTypes!$A$2:$Z1000,MATCH($W23,HouseTypes!$A$1:$Z$1,0),FALSE))</f>
        <v/>
      </c>
    </row>
    <row r="24">
      <c r="A24" s="2"/>
      <c r="B24" s="2" t="b">
        <v>0</v>
      </c>
      <c r="V24" s="2" t="str">
        <f>IFNA(VLOOKUP($U24,HousingServices!$A$2:$C1000,MATCH("Cost",HousingServices!$A$1:$Z$1,0),FALSE))</f>
        <v/>
      </c>
      <c r="W24" s="2"/>
      <c r="X24" s="2" t="str">
        <f>IFNA(Vlookup($A$2,HouseTypes!$A$2:$Z1000,MATCH($W24,HouseTypes!$A$1:$Z$1,0),FALSE))</f>
        <v/>
      </c>
    </row>
    <row r="25">
      <c r="A25" s="2"/>
      <c r="B25" s="2" t="b">
        <v>0</v>
      </c>
      <c r="V25" s="2" t="str">
        <f>IFNA(VLOOKUP($U25,HousingServices!$A$2:$C1000,MATCH("Cost",HousingServices!$A$1:$Z$1,0),FALSE))</f>
        <v/>
      </c>
      <c r="W25" s="2"/>
    </row>
    <row r="26">
      <c r="A26" s="2"/>
      <c r="B26" s="2" t="b">
        <v>0</v>
      </c>
      <c r="V26" s="2" t="str">
        <f>IFNA(VLOOKUP($U26,HousingServices!$A$2:$C1000,MATCH("Cost",HousingServices!$A$1:$Z$1,0),FALSE))</f>
        <v/>
      </c>
      <c r="W26" s="2"/>
    </row>
    <row r="27">
      <c r="A27" s="2"/>
      <c r="B27" s="2" t="b">
        <v>0</v>
      </c>
      <c r="V27" s="2" t="str">
        <f>IFNA(VLOOKUP($U27,HousingServices!$A$2:$C1000,MATCH("Cost",HousingServices!$A$1:$Z$1,0),FALSE))</f>
        <v/>
      </c>
      <c r="W27" s="2"/>
    </row>
    <row r="28">
      <c r="A28" s="2"/>
      <c r="B28" s="2" t="b">
        <v>0</v>
      </c>
      <c r="V28" s="2" t="str">
        <f>IFNA(VLOOKUP($U28,HousingServices!$A$2:$C1000,MATCH("Cost",HousingServices!$A$1:$Z$1,0),FALSE))</f>
        <v/>
      </c>
      <c r="W28" s="2"/>
    </row>
    <row r="29">
      <c r="A29" s="2"/>
      <c r="B29" s="2" t="b">
        <v>0</v>
      </c>
      <c r="V29" s="2" t="str">
        <f>IFNA(VLOOKUP($U29,HousingServices!$A$2:$C1000,MATCH("Cost",HousingServices!$A$1:$Z$1,0),FALSE))</f>
        <v/>
      </c>
      <c r="W29" s="2"/>
    </row>
    <row r="30">
      <c r="A30" s="2"/>
      <c r="B30" s="2" t="b">
        <v>0</v>
      </c>
      <c r="V30" s="2" t="str">
        <f>IFNA(VLOOKUP($U30,HousingServices!$A$2:$C1000,MATCH("Cost",HousingServices!$A$1:$Z$1,0),FALSE))</f>
        <v/>
      </c>
      <c r="W30" s="2"/>
    </row>
    <row r="31">
      <c r="A31" s="2"/>
      <c r="B31" s="2" t="b">
        <v>0</v>
      </c>
      <c r="V31" s="2" t="str">
        <f>IFNA(VLOOKUP($U31,HousingServices!$A$2:$C1000,MATCH("Cost",HousingServices!$A$1:$Z$1,0),FALSE))</f>
        <v/>
      </c>
      <c r="W31" s="2"/>
    </row>
    <row r="32">
      <c r="A32" s="2"/>
      <c r="B32" s="2" t="b">
        <v>0</v>
      </c>
      <c r="V32" s="2" t="str">
        <f>IFNA(VLOOKUP($U32,HousingServices!$A$2:$C1000,MATCH("Cost",HousingServices!$A$1:$Z$1,0),FALSE))</f>
        <v/>
      </c>
      <c r="W32" s="2"/>
    </row>
    <row r="33">
      <c r="A33" s="2"/>
      <c r="B33" s="2" t="b">
        <v>0</v>
      </c>
      <c r="V33" s="2" t="str">
        <f>IFNA(VLOOKUP($U33,HousingServices!$A$2:$C1000,MATCH("Cost",HousingServices!$A$1:$Z$1,0),FALSE))</f>
        <v/>
      </c>
      <c r="W33" s="2"/>
    </row>
    <row r="34">
      <c r="A34" s="2"/>
      <c r="B34" s="2" t="b">
        <v>0</v>
      </c>
      <c r="V34" s="2" t="str">
        <f>IFNA(VLOOKUP($U34,HousingServices!$A$2:$C1000,MATCH("Cost",HousingServices!$A$1:$Z$1,0),FALSE))</f>
        <v/>
      </c>
      <c r="W34" s="2"/>
    </row>
    <row r="35">
      <c r="A35" s="2"/>
      <c r="B35" s="2" t="b">
        <v>0</v>
      </c>
      <c r="V35" s="2" t="str">
        <f>IFNA(VLOOKUP($U35,HousingServices!$A$2:$C1000,MATCH("Cost",HousingServices!$A$1:$Z$1,0),FALSE))</f>
        <v/>
      </c>
      <c r="W35" s="2"/>
    </row>
    <row r="36">
      <c r="A36" s="2"/>
      <c r="B36" s="2" t="b">
        <v>0</v>
      </c>
      <c r="V36" s="2" t="str">
        <f>IFNA(VLOOKUP($U36,HousingServices!$A$2:$C1000,MATCH("Cost",HousingServices!$A$1:$Z$1,0),FALSE))</f>
        <v/>
      </c>
      <c r="W36" s="2"/>
    </row>
    <row r="37">
      <c r="A37" s="2"/>
      <c r="B37" s="2" t="b">
        <v>0</v>
      </c>
      <c r="V37" s="2" t="str">
        <f>IFNA(VLOOKUP($U37,HousingServices!$A$2:$C1000,MATCH("Cost",HousingServices!$A$1:$Z$1,0),FALSE))</f>
        <v/>
      </c>
      <c r="W37" s="2"/>
    </row>
    <row r="38">
      <c r="A38" s="2"/>
      <c r="B38" s="2" t="b">
        <v>0</v>
      </c>
      <c r="V38" s="2" t="str">
        <f>IFNA(VLOOKUP($U38,HousingServices!$A$2:$C1000,MATCH("Cost",HousingServices!$A$1:$Z$1,0),FALSE))</f>
        <v/>
      </c>
      <c r="W38" s="2"/>
    </row>
    <row r="39">
      <c r="A39" s="2"/>
      <c r="B39" s="2" t="b">
        <v>0</v>
      </c>
      <c r="V39" s="2" t="str">
        <f>IFNA(VLOOKUP($U39,HousingServices!$A$2:$C1000,MATCH("Cost",HousingServices!$A$1:$Z$1,0),FALSE))</f>
        <v/>
      </c>
      <c r="W39" s="2"/>
    </row>
    <row r="40">
      <c r="A40" s="2"/>
      <c r="B40" s="2" t="b">
        <v>0</v>
      </c>
      <c r="V40" s="2" t="str">
        <f>IFNA(VLOOKUP($U40,HousingServices!$A$2:$C1000,MATCH("Cost",HousingServices!$A$1:$Z$1,0),FALSE))</f>
        <v/>
      </c>
      <c r="W40" s="2"/>
    </row>
    <row r="41">
      <c r="A41" s="2"/>
      <c r="B41" s="2" t="b">
        <v>0</v>
      </c>
      <c r="V41" s="2" t="str">
        <f>IFNA(VLOOKUP($U41,HousingServices!$A$2:$C1000,MATCH("Cost",HousingServices!$A$1:$Z$1,0),FALSE))</f>
        <v/>
      </c>
      <c r="W41" s="2"/>
    </row>
    <row r="42">
      <c r="A42" s="2"/>
      <c r="B42" s="2" t="b">
        <v>0</v>
      </c>
      <c r="V42" s="2" t="str">
        <f>IFNA(VLOOKUP($U42,HousingServices!$A$2:$C1000,MATCH("Cost",HousingServices!$A$1:$Z$1,0),FALSE))</f>
        <v/>
      </c>
      <c r="W42" s="2"/>
    </row>
    <row r="43">
      <c r="A43" s="2"/>
      <c r="B43" s="2" t="b">
        <v>0</v>
      </c>
      <c r="V43" s="2" t="str">
        <f>IFNA(VLOOKUP($U43,HousingServices!$A$2:$C1000,MATCH("Cost",HousingServices!$A$1:$Z$1,0),FALSE))</f>
        <v/>
      </c>
      <c r="W43" s="2"/>
    </row>
    <row r="44">
      <c r="A44" s="2"/>
      <c r="B44" s="2" t="b">
        <v>0</v>
      </c>
      <c r="V44" s="2" t="str">
        <f>IFNA(VLOOKUP($U44,HousingServices!$A$2:$C1000,MATCH("Cost",HousingServices!$A$1:$Z$1,0),FALSE))</f>
        <v/>
      </c>
      <c r="W44" s="2"/>
    </row>
    <row r="45">
      <c r="A45" s="2"/>
      <c r="B45" s="2" t="b">
        <v>0</v>
      </c>
      <c r="V45" s="2" t="str">
        <f>IFNA(VLOOKUP($U45,HousingServices!$A$2:$C1000,MATCH("Cost",HousingServices!$A$1:$Z$1,0),FALSE))</f>
        <v/>
      </c>
      <c r="W45" s="2"/>
    </row>
    <row r="46">
      <c r="A46" s="2"/>
      <c r="B46" s="2" t="b">
        <v>0</v>
      </c>
      <c r="V46" s="2" t="str">
        <f>IFNA(VLOOKUP($U46,HousingServices!$A$2:$C1000,MATCH("Cost",HousingServices!$A$1:$Z$1,0),FALSE))</f>
        <v/>
      </c>
      <c r="W46" s="2"/>
    </row>
    <row r="47">
      <c r="A47" s="2"/>
      <c r="B47" s="2" t="b">
        <v>0</v>
      </c>
      <c r="V47" s="2" t="str">
        <f>IFNA(VLOOKUP($U47,HousingServices!$A$2:$C1000,MATCH("Cost",HousingServices!$A$1:$Z$1,0),FALSE))</f>
        <v/>
      </c>
      <c r="W47" s="2"/>
    </row>
    <row r="48">
      <c r="A48" s="2"/>
      <c r="B48" s="2" t="b">
        <v>0</v>
      </c>
      <c r="V48" s="2" t="str">
        <f>IFNA(VLOOKUP($U48,HousingServices!$A$2:$C1000,MATCH("Cost",HousingServices!$A$1:$Z$1,0),FALSE))</f>
        <v/>
      </c>
      <c r="W48" s="2"/>
    </row>
    <row r="49">
      <c r="A49" s="2"/>
      <c r="B49" s="2" t="b">
        <v>0</v>
      </c>
      <c r="V49" s="2" t="str">
        <f>IFNA(VLOOKUP($U49,HousingServices!$A$2:$C1000,MATCH("Cost",HousingServices!$A$1:$Z$1,0),FALSE))</f>
        <v/>
      </c>
      <c r="W49" s="2"/>
    </row>
    <row r="50">
      <c r="A50" s="2"/>
      <c r="B50" s="2" t="b">
        <v>0</v>
      </c>
      <c r="V50" s="2" t="str">
        <f>IFNA(VLOOKUP($U50,HousingServices!$A$2:$C1000,MATCH("Cost",HousingServices!$A$1:$Z$1,0),FALSE))</f>
        <v/>
      </c>
      <c r="W50" s="2"/>
    </row>
    <row r="51">
      <c r="A51" s="2"/>
      <c r="B51" s="2" t="b">
        <v>0</v>
      </c>
      <c r="V51" s="2" t="str">
        <f>IFNA(VLOOKUP($U51,HousingServices!$A$2:$C1000,MATCH("Cost",HousingServices!$A$1:$Z$1,0),FALSE))</f>
        <v/>
      </c>
      <c r="W51" s="2"/>
    </row>
    <row r="52">
      <c r="A52" s="2"/>
      <c r="B52" s="2" t="b">
        <v>0</v>
      </c>
      <c r="V52" s="2" t="str">
        <f>IFNA(VLOOKUP($U52,HousingServices!$A$2:$C1000,MATCH("Cost",HousingServices!$A$1:$Z$1,0),FALSE))</f>
        <v/>
      </c>
      <c r="W52" s="2"/>
    </row>
    <row r="53">
      <c r="A53" s="2"/>
      <c r="B53" s="2" t="b">
        <v>0</v>
      </c>
      <c r="V53" s="2" t="str">
        <f>IFNA(VLOOKUP($U53,HousingServices!$A$2:$C1000,MATCH("Cost",HousingServices!$A$1:$Z$1,0),FALSE))</f>
        <v/>
      </c>
      <c r="W53" s="2"/>
    </row>
    <row r="54">
      <c r="A54" s="2"/>
      <c r="B54" s="2" t="b">
        <v>0</v>
      </c>
      <c r="V54" s="2" t="str">
        <f>IFNA(VLOOKUP($U54,HousingServices!$A$2:$C1000,MATCH("Cost",HousingServices!$A$1:$Z$1,0),FALSE))</f>
        <v/>
      </c>
      <c r="W54" s="2"/>
    </row>
    <row r="55">
      <c r="A55" s="2"/>
      <c r="B55" s="2" t="b">
        <v>0</v>
      </c>
      <c r="V55" s="2" t="str">
        <f>IFNA(VLOOKUP($U55,HousingServices!$A$2:$C1000,MATCH("Cost",HousingServices!$A$1:$Z$1,0),FALSE))</f>
        <v/>
      </c>
      <c r="W55" s="2"/>
    </row>
    <row r="56">
      <c r="A56" s="2"/>
      <c r="B56" s="2" t="b">
        <v>0</v>
      </c>
      <c r="V56" s="2" t="str">
        <f>IFNA(VLOOKUP($U56,HousingServices!$A$2:$C1000,MATCH("Cost",HousingServices!$A$1:$Z$1,0),FALSE))</f>
        <v/>
      </c>
      <c r="W56" s="2"/>
    </row>
    <row r="57">
      <c r="A57" s="2"/>
      <c r="B57" s="2" t="b">
        <v>0</v>
      </c>
      <c r="V57" s="2" t="str">
        <f>IFNA(VLOOKUP($U57,HousingServices!$A$2:$C1000,MATCH("Cost",HousingServices!$A$1:$Z$1,0),FALSE))</f>
        <v/>
      </c>
      <c r="W57" s="2"/>
    </row>
    <row r="58">
      <c r="A58" s="2"/>
      <c r="B58" s="2" t="b">
        <v>0</v>
      </c>
      <c r="V58" s="2" t="str">
        <f>IFNA(VLOOKUP($U58,HousingServices!$A$2:$C1000,MATCH("Cost",HousingServices!$A$1:$Z$1,0),FALSE))</f>
        <v/>
      </c>
      <c r="W58" s="2"/>
    </row>
    <row r="59">
      <c r="A59" s="2"/>
      <c r="B59" s="2" t="b">
        <v>0</v>
      </c>
      <c r="V59" s="2" t="str">
        <f>IFNA(VLOOKUP($U59,HousingServices!$A$2:$C1000,MATCH("Cost",HousingServices!$A$1:$Z$1,0),FALSE))</f>
        <v/>
      </c>
      <c r="W59" s="2"/>
    </row>
    <row r="60">
      <c r="A60" s="2"/>
      <c r="B60" s="2" t="b">
        <v>0</v>
      </c>
      <c r="V60" s="2" t="str">
        <f>IFNA(VLOOKUP($U60,HousingServices!$A$2:$C1000,MATCH("Cost",HousingServices!$A$1:$Z$1,0),FALSE))</f>
        <v/>
      </c>
      <c r="W60" s="2"/>
    </row>
    <row r="61">
      <c r="A61" s="2"/>
      <c r="B61" s="2" t="b">
        <v>0</v>
      </c>
      <c r="W61" s="2"/>
    </row>
    <row r="62">
      <c r="A62" s="2"/>
      <c r="B62" s="2" t="b">
        <v>0</v>
      </c>
      <c r="W62" s="2"/>
    </row>
    <row r="63">
      <c r="A63" s="2"/>
      <c r="B63" s="2" t="b">
        <v>0</v>
      </c>
      <c r="W63" s="2"/>
    </row>
    <row r="64">
      <c r="A64" s="2"/>
      <c r="B64" s="2" t="b">
        <v>0</v>
      </c>
      <c r="W64" s="2"/>
    </row>
    <row r="65">
      <c r="A65" s="2"/>
      <c r="B65" s="2" t="b">
        <v>0</v>
      </c>
      <c r="W65" s="2"/>
    </row>
    <row r="66">
      <c r="A66" s="2"/>
      <c r="B66" s="2" t="b">
        <v>0</v>
      </c>
      <c r="W66" s="2"/>
    </row>
    <row r="67">
      <c r="A67" s="2"/>
      <c r="B67" s="2" t="b">
        <v>0</v>
      </c>
      <c r="W67" s="2"/>
    </row>
    <row r="68">
      <c r="A68" s="2"/>
      <c r="B68" s="2" t="b">
        <v>0</v>
      </c>
      <c r="W68" s="2"/>
    </row>
    <row r="69">
      <c r="A69" s="2"/>
      <c r="B69" s="2" t="b">
        <v>0</v>
      </c>
      <c r="W69" s="2"/>
    </row>
    <row r="70">
      <c r="A70" s="2"/>
      <c r="B70" s="2" t="b">
        <v>0</v>
      </c>
      <c r="W70" s="2"/>
    </row>
    <row r="71">
      <c r="A71" s="2"/>
      <c r="B71" s="2" t="b">
        <v>0</v>
      </c>
      <c r="W71" s="2"/>
    </row>
    <row r="72">
      <c r="A72" s="2"/>
      <c r="B72" s="2" t="b">
        <v>0</v>
      </c>
      <c r="W72" s="2"/>
    </row>
    <row r="73">
      <c r="A73" s="2"/>
      <c r="B73" s="2" t="b">
        <v>0</v>
      </c>
      <c r="W73" s="2"/>
    </row>
    <row r="74">
      <c r="A74" s="2"/>
      <c r="B74" s="2" t="b">
        <v>0</v>
      </c>
      <c r="W74" s="2"/>
    </row>
    <row r="75">
      <c r="A75" s="2"/>
      <c r="B75" s="2" t="b">
        <v>0</v>
      </c>
      <c r="W75" s="2"/>
    </row>
    <row r="76">
      <c r="A76" s="2"/>
      <c r="B76" s="2" t="b">
        <v>0</v>
      </c>
      <c r="W76" s="2"/>
    </row>
    <row r="77">
      <c r="A77" s="2"/>
      <c r="B77" s="2" t="b">
        <v>0</v>
      </c>
      <c r="W77" s="2"/>
    </row>
    <row r="78">
      <c r="A78" s="2"/>
      <c r="B78" s="2" t="b">
        <v>0</v>
      </c>
      <c r="W78" s="2"/>
    </row>
    <row r="79">
      <c r="A79" s="2"/>
      <c r="B79" s="2" t="b">
        <v>0</v>
      </c>
      <c r="W79" s="2"/>
    </row>
    <row r="80">
      <c r="A80" s="2"/>
      <c r="B80" s="2" t="b">
        <v>0</v>
      </c>
      <c r="W80" s="2"/>
    </row>
    <row r="81">
      <c r="A81" s="2"/>
      <c r="B81" s="2" t="b">
        <v>0</v>
      </c>
      <c r="W81" s="2"/>
    </row>
    <row r="82">
      <c r="A82" s="2"/>
      <c r="B82" s="2" t="b">
        <v>0</v>
      </c>
      <c r="W82" s="2"/>
    </row>
    <row r="83">
      <c r="A83" s="2"/>
      <c r="B83" s="2" t="b">
        <v>0</v>
      </c>
      <c r="W83" s="2"/>
    </row>
    <row r="84">
      <c r="A84" s="2"/>
      <c r="B84" s="2" t="b">
        <v>0</v>
      </c>
      <c r="W84" s="2"/>
    </row>
    <row r="85">
      <c r="A85" s="2"/>
      <c r="B85" s="2" t="b">
        <v>0</v>
      </c>
      <c r="W85" s="2"/>
    </row>
    <row r="86">
      <c r="A86" s="2"/>
      <c r="B86" s="2" t="b">
        <v>0</v>
      </c>
      <c r="W86" s="2"/>
    </row>
    <row r="87">
      <c r="A87" s="2"/>
      <c r="B87" s="2" t="b">
        <v>0</v>
      </c>
      <c r="W87" s="2"/>
    </row>
    <row r="88">
      <c r="A88" s="2"/>
      <c r="B88" s="2" t="b">
        <v>0</v>
      </c>
      <c r="W88" s="2"/>
    </row>
    <row r="89">
      <c r="A89" s="2"/>
      <c r="B89" s="2" t="b">
        <v>0</v>
      </c>
      <c r="W89" s="2"/>
    </row>
    <row r="90">
      <c r="A90" s="2"/>
      <c r="B90" s="2" t="b">
        <v>0</v>
      </c>
      <c r="W90" s="2"/>
    </row>
    <row r="91">
      <c r="A91" s="2"/>
      <c r="B91" s="2" t="b">
        <v>0</v>
      </c>
      <c r="W91" s="2"/>
    </row>
    <row r="92">
      <c r="A92" s="2"/>
      <c r="B92" s="2" t="b">
        <v>0</v>
      </c>
      <c r="W92" s="2"/>
    </row>
    <row r="93">
      <c r="A93" s="2"/>
      <c r="B93" s="2" t="b">
        <v>0</v>
      </c>
      <c r="W93" s="2"/>
    </row>
    <row r="94">
      <c r="A94" s="2"/>
      <c r="B94" s="2" t="b">
        <v>0</v>
      </c>
      <c r="W94" s="2"/>
    </row>
    <row r="95">
      <c r="A95" s="2"/>
      <c r="B95" s="2" t="b">
        <v>0</v>
      </c>
      <c r="W95" s="2"/>
    </row>
    <row r="96">
      <c r="A96" s="2"/>
      <c r="B96" s="2" t="b">
        <v>0</v>
      </c>
      <c r="W96" s="2"/>
    </row>
    <row r="97">
      <c r="A97" s="2"/>
      <c r="B97" s="2" t="b">
        <v>0</v>
      </c>
      <c r="W97" s="2"/>
    </row>
    <row r="98">
      <c r="A98" s="2"/>
      <c r="B98" s="2" t="b">
        <v>0</v>
      </c>
      <c r="W98" s="2"/>
    </row>
    <row r="99">
      <c r="A99" s="2"/>
      <c r="B99" s="2" t="b">
        <v>0</v>
      </c>
      <c r="W99" s="2"/>
    </row>
    <row r="100">
      <c r="A100" s="2"/>
      <c r="B100" s="2" t="b">
        <v>0</v>
      </c>
      <c r="W100" s="2"/>
    </row>
    <row r="101">
      <c r="A101" s="2"/>
      <c r="B101" s="2" t="b">
        <v>0</v>
      </c>
      <c r="W101" s="2"/>
    </row>
    <row r="102">
      <c r="A102" s="2"/>
      <c r="B102" s="2" t="b">
        <v>0</v>
      </c>
      <c r="W102" s="2"/>
    </row>
    <row r="103">
      <c r="A103" s="2"/>
      <c r="B103" s="2" t="b">
        <v>0</v>
      </c>
      <c r="W103" s="2"/>
    </row>
    <row r="104">
      <c r="A104" s="2"/>
      <c r="B104" s="2" t="b">
        <v>0</v>
      </c>
      <c r="W104" s="2"/>
    </row>
    <row r="105">
      <c r="A105" s="2"/>
      <c r="B105" s="2" t="b">
        <v>0</v>
      </c>
      <c r="W105" s="2"/>
    </row>
    <row r="106">
      <c r="A106" s="2"/>
      <c r="B106" s="2" t="b">
        <v>0</v>
      </c>
      <c r="W106" s="2"/>
    </row>
    <row r="107">
      <c r="A107" s="2"/>
      <c r="B107" s="2" t="b">
        <v>0</v>
      </c>
      <c r="W107" s="2"/>
    </row>
    <row r="108">
      <c r="A108" s="2"/>
      <c r="B108" s="2" t="b">
        <v>0</v>
      </c>
      <c r="W108" s="2"/>
    </row>
    <row r="109">
      <c r="A109" s="2"/>
      <c r="B109" s="2" t="b">
        <v>0</v>
      </c>
      <c r="W109" s="2"/>
    </row>
    <row r="110">
      <c r="A110" s="2"/>
      <c r="B110" s="2" t="b">
        <v>0</v>
      </c>
      <c r="W110" s="2"/>
    </row>
    <row r="111">
      <c r="A111" s="2"/>
      <c r="B111" s="2" t="b">
        <v>0</v>
      </c>
      <c r="W111" s="2"/>
    </row>
    <row r="112">
      <c r="A112" s="2"/>
      <c r="B112" s="2" t="b">
        <v>0</v>
      </c>
      <c r="W112" s="2"/>
    </row>
    <row r="113">
      <c r="A113" s="2"/>
      <c r="B113" s="2" t="b">
        <v>0</v>
      </c>
      <c r="W113" s="2"/>
    </row>
    <row r="114">
      <c r="A114" s="2"/>
      <c r="B114" s="2" t="b">
        <v>0</v>
      </c>
      <c r="W114" s="2"/>
    </row>
    <row r="115">
      <c r="A115" s="2"/>
      <c r="B115" s="2" t="b">
        <v>0</v>
      </c>
      <c r="W115" s="2"/>
    </row>
    <row r="116">
      <c r="A116" s="2"/>
      <c r="B116" s="2" t="b">
        <v>0</v>
      </c>
      <c r="W116" s="2"/>
    </row>
    <row r="117">
      <c r="A117" s="2"/>
      <c r="B117" s="2" t="b">
        <v>0</v>
      </c>
      <c r="W117" s="2"/>
    </row>
    <row r="118">
      <c r="A118" s="2"/>
      <c r="B118" s="2" t="b">
        <v>0</v>
      </c>
      <c r="W118" s="2"/>
    </row>
    <row r="119">
      <c r="A119" s="2"/>
      <c r="B119" s="2" t="b">
        <v>0</v>
      </c>
      <c r="W119" s="2"/>
    </row>
    <row r="120">
      <c r="A120" s="2"/>
      <c r="B120" s="2" t="b">
        <v>0</v>
      </c>
      <c r="W120" s="2"/>
    </row>
    <row r="121">
      <c r="A121" s="2"/>
      <c r="B121" s="2" t="b">
        <v>0</v>
      </c>
      <c r="W121" s="2"/>
    </row>
    <row r="122">
      <c r="A122" s="2"/>
      <c r="B122" s="2" t="b">
        <v>0</v>
      </c>
      <c r="W122" s="2"/>
    </row>
    <row r="123">
      <c r="A123" s="2"/>
      <c r="B123" s="2" t="b">
        <v>0</v>
      </c>
      <c r="W123" s="2"/>
    </row>
    <row r="124">
      <c r="A124" s="2"/>
      <c r="B124" s="2" t="b">
        <v>0</v>
      </c>
      <c r="W124" s="2"/>
    </row>
    <row r="125">
      <c r="A125" s="2"/>
      <c r="B125" s="2" t="b">
        <v>0</v>
      </c>
      <c r="W125" s="2"/>
    </row>
    <row r="126">
      <c r="A126" s="2"/>
      <c r="B126" s="2" t="b">
        <v>0</v>
      </c>
      <c r="W126" s="2"/>
    </row>
    <row r="127">
      <c r="A127" s="2"/>
      <c r="B127" s="2" t="b">
        <v>0</v>
      </c>
      <c r="W127" s="2"/>
    </row>
    <row r="128">
      <c r="A128" s="2"/>
      <c r="B128" s="2" t="b">
        <v>0</v>
      </c>
      <c r="W128" s="2"/>
    </row>
    <row r="129">
      <c r="A129" s="2"/>
      <c r="B129" s="2" t="b">
        <v>0</v>
      </c>
      <c r="W129" s="2"/>
    </row>
    <row r="130">
      <c r="A130" s="2"/>
      <c r="B130" s="2" t="b">
        <v>0</v>
      </c>
      <c r="W130" s="2"/>
    </row>
    <row r="131">
      <c r="A131" s="2"/>
      <c r="B131" s="2" t="b">
        <v>0</v>
      </c>
      <c r="W131" s="2"/>
    </row>
    <row r="132">
      <c r="A132" s="2"/>
      <c r="B132" s="2" t="b">
        <v>0</v>
      </c>
      <c r="W132" s="2"/>
    </row>
    <row r="133">
      <c r="A133" s="2"/>
      <c r="B133" s="2" t="b">
        <v>0</v>
      </c>
      <c r="W133" s="2"/>
    </row>
    <row r="134">
      <c r="A134" s="2"/>
      <c r="B134" s="2" t="b">
        <v>0</v>
      </c>
      <c r="W134" s="2"/>
    </row>
    <row r="135">
      <c r="A135" s="2"/>
      <c r="B135" s="2" t="b">
        <v>0</v>
      </c>
      <c r="W135" s="2"/>
    </row>
    <row r="136">
      <c r="A136" s="2"/>
      <c r="B136" s="2" t="b">
        <v>0</v>
      </c>
      <c r="W136" s="2"/>
    </row>
    <row r="137">
      <c r="A137" s="2"/>
      <c r="B137" s="2" t="b">
        <v>0</v>
      </c>
      <c r="W137" s="2"/>
    </row>
    <row r="138">
      <c r="A138" s="2"/>
      <c r="B138" s="2" t="b">
        <v>0</v>
      </c>
      <c r="W138" s="2"/>
    </row>
    <row r="139">
      <c r="A139" s="2"/>
      <c r="B139" s="2" t="b">
        <v>0</v>
      </c>
      <c r="W139" s="2"/>
    </row>
    <row r="140">
      <c r="A140" s="2"/>
      <c r="B140" s="2" t="b">
        <v>0</v>
      </c>
      <c r="W140" s="2"/>
    </row>
    <row r="141">
      <c r="A141" s="2"/>
      <c r="B141" s="2" t="b">
        <v>0</v>
      </c>
      <c r="W141" s="2"/>
    </row>
    <row r="142">
      <c r="A142" s="2"/>
      <c r="B142" s="2" t="b">
        <v>0</v>
      </c>
      <c r="W142" s="2"/>
    </row>
    <row r="143">
      <c r="A143" s="2"/>
      <c r="B143" s="2" t="b">
        <v>0</v>
      </c>
      <c r="W143" s="2"/>
    </row>
    <row r="144">
      <c r="A144" s="2"/>
      <c r="B144" s="2" t="b">
        <v>0</v>
      </c>
      <c r="W144" s="2"/>
    </row>
    <row r="145">
      <c r="A145" s="2"/>
      <c r="B145" s="2" t="b">
        <v>0</v>
      </c>
      <c r="W145" s="2"/>
    </row>
    <row r="146">
      <c r="A146" s="2"/>
      <c r="B146" s="2" t="b">
        <v>0</v>
      </c>
      <c r="W146" s="2"/>
    </row>
    <row r="147">
      <c r="A147" s="2"/>
      <c r="B147" s="2" t="b">
        <v>0</v>
      </c>
      <c r="W147" s="2"/>
    </row>
    <row r="148">
      <c r="A148" s="2"/>
      <c r="B148" s="2" t="b">
        <v>0</v>
      </c>
      <c r="W148" s="2"/>
    </row>
    <row r="149">
      <c r="A149" s="2"/>
      <c r="B149" s="2" t="b">
        <v>0</v>
      </c>
      <c r="W149" s="2"/>
    </row>
    <row r="150">
      <c r="A150" s="2"/>
      <c r="B150" s="2" t="b">
        <v>0</v>
      </c>
      <c r="W150" s="2"/>
    </row>
    <row r="151">
      <c r="A151" s="2"/>
      <c r="B151" s="2" t="b">
        <v>0</v>
      </c>
      <c r="W151" s="2"/>
    </row>
    <row r="152">
      <c r="A152" s="2"/>
      <c r="B152" s="2" t="b">
        <v>0</v>
      </c>
      <c r="W152" s="2"/>
    </row>
    <row r="153">
      <c r="A153" s="2"/>
      <c r="B153" s="2" t="b">
        <v>0</v>
      </c>
      <c r="W153" s="2"/>
    </row>
    <row r="154">
      <c r="A154" s="2"/>
      <c r="B154" s="2" t="b">
        <v>0</v>
      </c>
      <c r="W154" s="2"/>
    </row>
    <row r="155">
      <c r="A155" s="2"/>
      <c r="B155" s="2" t="b">
        <v>0</v>
      </c>
      <c r="W155" s="2"/>
    </row>
    <row r="156">
      <c r="A156" s="2"/>
      <c r="B156" s="2" t="b">
        <v>0</v>
      </c>
      <c r="W156" s="2"/>
    </row>
    <row r="157">
      <c r="A157" s="2"/>
      <c r="B157" s="2" t="b">
        <v>0</v>
      </c>
      <c r="W157" s="2"/>
    </row>
    <row r="158">
      <c r="A158" s="2"/>
      <c r="B158" s="2" t="b">
        <v>0</v>
      </c>
      <c r="W158" s="2"/>
    </row>
    <row r="159">
      <c r="A159" s="2"/>
      <c r="B159" s="2" t="b">
        <v>0</v>
      </c>
      <c r="W159" s="2"/>
    </row>
    <row r="160">
      <c r="A160" s="2"/>
      <c r="B160" s="2" t="b">
        <v>0</v>
      </c>
      <c r="W160" s="2"/>
    </row>
    <row r="161">
      <c r="A161" s="2"/>
      <c r="B161" s="2" t="b">
        <v>0</v>
      </c>
      <c r="W161" s="2"/>
    </row>
    <row r="162">
      <c r="A162" s="2"/>
      <c r="B162" s="2" t="b">
        <v>0</v>
      </c>
      <c r="W162" s="2"/>
    </row>
    <row r="163">
      <c r="A163" s="2"/>
      <c r="B163" s="2" t="b">
        <v>0</v>
      </c>
      <c r="W163" s="2"/>
    </row>
    <row r="164">
      <c r="A164" s="2"/>
      <c r="B164" s="2" t="b">
        <v>0</v>
      </c>
      <c r="W164" s="2"/>
    </row>
    <row r="165">
      <c r="A165" s="2"/>
      <c r="B165" s="2" t="b">
        <v>0</v>
      </c>
      <c r="W165" s="2"/>
    </row>
    <row r="166">
      <c r="A166" s="2"/>
      <c r="B166" s="2" t="b">
        <v>0</v>
      </c>
      <c r="W166" s="2"/>
    </row>
    <row r="167">
      <c r="A167" s="2"/>
      <c r="B167" s="2" t="b">
        <v>0</v>
      </c>
      <c r="W167" s="2"/>
    </row>
    <row r="168">
      <c r="A168" s="2"/>
      <c r="B168" s="2" t="b">
        <v>0</v>
      </c>
      <c r="W168" s="2"/>
    </row>
    <row r="169">
      <c r="A169" s="2"/>
      <c r="B169" s="2" t="b">
        <v>0</v>
      </c>
      <c r="W169" s="2"/>
    </row>
    <row r="170">
      <c r="A170" s="2"/>
      <c r="B170" s="2" t="b">
        <v>0</v>
      </c>
      <c r="W170" s="2"/>
    </row>
    <row r="171">
      <c r="A171" s="2"/>
      <c r="B171" s="2" t="b">
        <v>0</v>
      </c>
      <c r="W171" s="2"/>
    </row>
    <row r="172">
      <c r="A172" s="2"/>
      <c r="B172" s="2" t="b">
        <v>0</v>
      </c>
      <c r="W172" s="2"/>
    </row>
    <row r="173">
      <c r="A173" s="2"/>
      <c r="B173" s="2" t="b">
        <v>0</v>
      </c>
      <c r="W173" s="2"/>
    </row>
    <row r="174">
      <c r="A174" s="2"/>
      <c r="B174" s="2" t="b">
        <v>0</v>
      </c>
      <c r="W174" s="2"/>
    </row>
    <row r="175">
      <c r="A175" s="2"/>
      <c r="B175" s="2" t="b">
        <v>0</v>
      </c>
      <c r="W175" s="2"/>
    </row>
    <row r="176">
      <c r="A176" s="2"/>
      <c r="B176" s="2" t="b">
        <v>0</v>
      </c>
      <c r="W176" s="2"/>
    </row>
    <row r="177">
      <c r="A177" s="2"/>
      <c r="B177" s="2" t="b">
        <v>0</v>
      </c>
      <c r="W177" s="2"/>
    </row>
    <row r="178">
      <c r="A178" s="2"/>
      <c r="B178" s="2" t="b">
        <v>0</v>
      </c>
      <c r="W178" s="2"/>
    </row>
    <row r="179">
      <c r="A179" s="2"/>
      <c r="B179" s="2" t="b">
        <v>0</v>
      </c>
      <c r="W179" s="2"/>
    </row>
    <row r="180">
      <c r="A180" s="2"/>
      <c r="B180" s="2" t="b">
        <v>0</v>
      </c>
      <c r="W180" s="2"/>
    </row>
    <row r="181">
      <c r="A181" s="2"/>
      <c r="B181" s="2" t="b">
        <v>0</v>
      </c>
      <c r="W181" s="2"/>
    </row>
    <row r="182">
      <c r="A182" s="2"/>
      <c r="B182" s="2" t="b">
        <v>0</v>
      </c>
      <c r="W182" s="2"/>
    </row>
    <row r="183">
      <c r="A183" s="2"/>
      <c r="B183" s="2" t="b">
        <v>0</v>
      </c>
      <c r="W183" s="2"/>
    </row>
    <row r="184">
      <c r="A184" s="2"/>
      <c r="B184" s="2" t="b">
        <v>0</v>
      </c>
      <c r="W184" s="2"/>
    </row>
    <row r="185">
      <c r="A185" s="2"/>
      <c r="B185" s="2" t="b">
        <v>0</v>
      </c>
      <c r="W185" s="2"/>
    </row>
    <row r="186">
      <c r="A186" s="2"/>
      <c r="B186" s="2" t="b">
        <v>0</v>
      </c>
      <c r="W186" s="2"/>
    </row>
    <row r="187">
      <c r="A187" s="2"/>
      <c r="B187" s="2" t="b">
        <v>0</v>
      </c>
      <c r="W187" s="2"/>
    </row>
    <row r="188">
      <c r="A188" s="2"/>
      <c r="B188" s="2" t="b">
        <v>0</v>
      </c>
      <c r="W188" s="2"/>
    </row>
    <row r="189">
      <c r="A189" s="2"/>
      <c r="B189" s="2" t="b">
        <v>0</v>
      </c>
      <c r="W189" s="2"/>
    </row>
    <row r="190">
      <c r="A190" s="2"/>
      <c r="B190" s="2" t="b">
        <v>0</v>
      </c>
      <c r="W190" s="2"/>
    </row>
    <row r="191">
      <c r="A191" s="2"/>
      <c r="B191" s="2" t="b">
        <v>0</v>
      </c>
      <c r="W191" s="2"/>
    </row>
    <row r="192">
      <c r="A192" s="2"/>
      <c r="B192" s="2" t="b">
        <v>0</v>
      </c>
      <c r="W192" s="2"/>
    </row>
    <row r="193">
      <c r="A193" s="2"/>
      <c r="B193" s="2" t="b">
        <v>0</v>
      </c>
      <c r="W193" s="2"/>
    </row>
    <row r="194">
      <c r="A194" s="2"/>
      <c r="B194" s="2" t="b">
        <v>0</v>
      </c>
      <c r="W194" s="2"/>
    </row>
    <row r="195">
      <c r="A195" s="2"/>
      <c r="B195" s="2" t="b">
        <v>0</v>
      </c>
      <c r="W195" s="2"/>
    </row>
    <row r="196">
      <c r="A196" s="2"/>
      <c r="B196" s="2" t="b">
        <v>0</v>
      </c>
      <c r="W196" s="2"/>
    </row>
    <row r="197">
      <c r="A197" s="2"/>
      <c r="B197" s="2" t="b">
        <v>0</v>
      </c>
      <c r="W197" s="2"/>
    </row>
    <row r="198">
      <c r="A198" s="2"/>
      <c r="B198" s="2" t="b">
        <v>0</v>
      </c>
      <c r="W198" s="2"/>
    </row>
    <row r="199">
      <c r="A199" s="2"/>
      <c r="B199" s="2" t="b">
        <v>0</v>
      </c>
      <c r="W199" s="2"/>
    </row>
    <row r="200">
      <c r="A200" s="2"/>
      <c r="B200" s="2" t="b">
        <v>0</v>
      </c>
      <c r="W200" s="2"/>
    </row>
    <row r="201">
      <c r="A201" s="2"/>
      <c r="B201" s="2" t="b">
        <v>0</v>
      </c>
      <c r="W201" s="2"/>
    </row>
    <row r="202">
      <c r="A202" s="2"/>
      <c r="B202" s="2" t="b">
        <v>0</v>
      </c>
      <c r="W202" s="2"/>
    </row>
    <row r="203">
      <c r="A203" s="2"/>
      <c r="B203" s="2" t="b">
        <v>0</v>
      </c>
      <c r="W203" s="2"/>
    </row>
    <row r="204">
      <c r="A204" s="2"/>
      <c r="B204" s="2" t="b">
        <v>0</v>
      </c>
      <c r="W204" s="2"/>
    </row>
    <row r="205">
      <c r="A205" s="2"/>
      <c r="B205" s="2" t="b">
        <v>0</v>
      </c>
      <c r="W205" s="2"/>
    </row>
    <row r="206">
      <c r="A206" s="2"/>
      <c r="B206" s="2" t="b">
        <v>0</v>
      </c>
      <c r="W206" s="2"/>
    </row>
    <row r="207">
      <c r="A207" s="2"/>
      <c r="B207" s="2" t="b">
        <v>0</v>
      </c>
      <c r="W207" s="2"/>
    </row>
    <row r="208">
      <c r="A208" s="2"/>
      <c r="B208" s="2" t="b">
        <v>0</v>
      </c>
      <c r="W208" s="2"/>
    </row>
    <row r="209">
      <c r="A209" s="2"/>
      <c r="B209" s="2" t="b">
        <v>0</v>
      </c>
      <c r="W209" s="2"/>
    </row>
    <row r="210">
      <c r="A210" s="2"/>
      <c r="B210" s="2" t="b">
        <v>0</v>
      </c>
      <c r="W210" s="2"/>
    </row>
    <row r="211">
      <c r="A211" s="2"/>
      <c r="B211" s="2" t="b">
        <v>0</v>
      </c>
      <c r="W211" s="2"/>
    </row>
    <row r="212">
      <c r="A212" s="2"/>
      <c r="B212" s="2" t="b">
        <v>0</v>
      </c>
      <c r="W212" s="2"/>
    </row>
    <row r="213">
      <c r="A213" s="2"/>
      <c r="B213" s="2" t="b">
        <v>0</v>
      </c>
      <c r="W213" s="2"/>
    </row>
    <row r="214">
      <c r="A214" s="2"/>
      <c r="B214" s="2" t="b">
        <v>0</v>
      </c>
      <c r="W214" s="2"/>
    </row>
    <row r="215">
      <c r="A215" s="2"/>
      <c r="B215" s="2" t="b">
        <v>0</v>
      </c>
      <c r="W215" s="2"/>
    </row>
    <row r="216">
      <c r="A216" s="2"/>
      <c r="B216" s="2" t="b">
        <v>0</v>
      </c>
      <c r="W216" s="2"/>
    </row>
    <row r="217">
      <c r="A217" s="2"/>
      <c r="B217" s="2" t="b">
        <v>0</v>
      </c>
      <c r="W217" s="2"/>
    </row>
    <row r="218">
      <c r="A218" s="2"/>
      <c r="B218" s="2" t="b">
        <v>0</v>
      </c>
      <c r="W218" s="2"/>
    </row>
    <row r="219">
      <c r="A219" s="2"/>
      <c r="B219" s="2" t="b">
        <v>0</v>
      </c>
      <c r="W219" s="2"/>
    </row>
    <row r="220">
      <c r="A220" s="2"/>
      <c r="B220" s="2" t="b">
        <v>0</v>
      </c>
      <c r="W220" s="2"/>
    </row>
    <row r="221">
      <c r="A221" s="2"/>
      <c r="B221" s="2" t="b">
        <v>0</v>
      </c>
      <c r="W221" s="2"/>
    </row>
    <row r="222">
      <c r="A222" s="2"/>
      <c r="B222" s="2" t="b">
        <v>0</v>
      </c>
      <c r="W222" s="2"/>
    </row>
    <row r="223">
      <c r="A223" s="2"/>
      <c r="B223" s="2" t="b">
        <v>0</v>
      </c>
      <c r="W223" s="2"/>
    </row>
    <row r="224">
      <c r="A224" s="2"/>
      <c r="B224" s="2" t="b">
        <v>0</v>
      </c>
      <c r="W224" s="2"/>
    </row>
    <row r="225">
      <c r="A225" s="2"/>
      <c r="B225" s="2" t="b">
        <v>0</v>
      </c>
      <c r="W225" s="2"/>
    </row>
    <row r="226">
      <c r="A226" s="2"/>
      <c r="B226" s="2" t="b">
        <v>0</v>
      </c>
      <c r="W226" s="2"/>
    </row>
    <row r="227">
      <c r="A227" s="2"/>
      <c r="B227" s="2" t="b">
        <v>0</v>
      </c>
      <c r="W227" s="2"/>
    </row>
    <row r="228">
      <c r="A228" s="2"/>
      <c r="B228" s="2" t="b">
        <v>0</v>
      </c>
      <c r="W228" s="2"/>
    </row>
    <row r="229">
      <c r="A229" s="2"/>
      <c r="B229" s="2" t="b">
        <v>0</v>
      </c>
      <c r="W229" s="2"/>
    </row>
    <row r="230">
      <c r="A230" s="2"/>
      <c r="B230" s="2" t="b">
        <v>0</v>
      </c>
      <c r="W230" s="2"/>
    </row>
    <row r="231">
      <c r="A231" s="2"/>
      <c r="B231" s="2" t="b">
        <v>0</v>
      </c>
      <c r="W231" s="2"/>
    </row>
    <row r="232">
      <c r="A232" s="2"/>
      <c r="B232" s="2" t="b">
        <v>0</v>
      </c>
      <c r="W232" s="2"/>
    </row>
    <row r="233">
      <c r="A233" s="2"/>
      <c r="B233" s="2" t="b">
        <v>0</v>
      </c>
      <c r="W233" s="2"/>
    </row>
    <row r="234">
      <c r="A234" s="2"/>
      <c r="B234" s="2" t="b">
        <v>0</v>
      </c>
      <c r="W234" s="2"/>
    </row>
    <row r="235">
      <c r="A235" s="2"/>
      <c r="B235" s="2" t="b">
        <v>0</v>
      </c>
      <c r="W235" s="2"/>
    </row>
    <row r="236">
      <c r="A236" s="2"/>
      <c r="B236" s="2" t="b">
        <v>0</v>
      </c>
      <c r="W236" s="2"/>
    </row>
    <row r="237">
      <c r="A237" s="2"/>
      <c r="B237" s="2" t="b">
        <v>0</v>
      </c>
      <c r="W237" s="2"/>
    </row>
    <row r="238">
      <c r="A238" s="2"/>
      <c r="B238" s="2" t="b">
        <v>0</v>
      </c>
      <c r="W238" s="2"/>
    </row>
    <row r="239">
      <c r="A239" s="2"/>
      <c r="B239" s="2" t="b">
        <v>0</v>
      </c>
      <c r="W239" s="2"/>
    </row>
    <row r="240">
      <c r="A240" s="2"/>
      <c r="B240" s="2" t="b">
        <v>0</v>
      </c>
      <c r="W240" s="2"/>
    </row>
    <row r="241">
      <c r="A241" s="2"/>
      <c r="B241" s="2" t="b">
        <v>0</v>
      </c>
      <c r="W241" s="2"/>
    </row>
    <row r="242">
      <c r="A242" s="2"/>
      <c r="B242" s="2" t="b">
        <v>0</v>
      </c>
      <c r="W242" s="2"/>
    </row>
    <row r="243">
      <c r="A243" s="2"/>
      <c r="B243" s="2" t="b">
        <v>0</v>
      </c>
      <c r="W243" s="2"/>
    </row>
    <row r="244">
      <c r="A244" s="2"/>
      <c r="B244" s="2" t="b">
        <v>0</v>
      </c>
      <c r="W244" s="2"/>
    </row>
    <row r="245">
      <c r="A245" s="2"/>
      <c r="B245" s="2" t="b">
        <v>0</v>
      </c>
      <c r="W245" s="2"/>
    </row>
    <row r="246">
      <c r="A246" s="2"/>
      <c r="B246" s="2" t="b">
        <v>0</v>
      </c>
      <c r="W246" s="2"/>
    </row>
    <row r="247">
      <c r="A247" s="2"/>
      <c r="B247" s="2" t="b">
        <v>0</v>
      </c>
      <c r="W247" s="2"/>
    </row>
    <row r="248">
      <c r="A248" s="2"/>
      <c r="B248" s="2" t="b">
        <v>0</v>
      </c>
      <c r="W248" s="2"/>
    </row>
    <row r="249">
      <c r="A249" s="2"/>
      <c r="B249" s="2" t="b">
        <v>0</v>
      </c>
      <c r="W249" s="2"/>
    </row>
    <row r="250">
      <c r="A250" s="2"/>
      <c r="B250" s="2" t="b">
        <v>0</v>
      </c>
      <c r="W250" s="2"/>
    </row>
    <row r="251">
      <c r="A251" s="2"/>
      <c r="B251" s="2" t="b">
        <v>0</v>
      </c>
      <c r="W251" s="2"/>
    </row>
    <row r="252">
      <c r="A252" s="2"/>
      <c r="B252" s="2" t="b">
        <v>0</v>
      </c>
      <c r="W252" s="2"/>
    </row>
    <row r="253">
      <c r="A253" s="2"/>
      <c r="B253" s="2" t="b">
        <v>0</v>
      </c>
      <c r="W253" s="2"/>
    </row>
    <row r="254">
      <c r="A254" s="2"/>
      <c r="B254" s="2" t="b">
        <v>0</v>
      </c>
      <c r="W254" s="2"/>
    </row>
    <row r="255">
      <c r="A255" s="2"/>
      <c r="B255" s="2" t="b">
        <v>0</v>
      </c>
      <c r="W255" s="2"/>
    </row>
    <row r="256">
      <c r="A256" s="2"/>
      <c r="B256" s="2" t="b">
        <v>0</v>
      </c>
      <c r="W256" s="2"/>
    </row>
    <row r="257">
      <c r="A257" s="2"/>
      <c r="B257" s="2" t="b">
        <v>0</v>
      </c>
      <c r="W257" s="2"/>
    </row>
    <row r="258">
      <c r="A258" s="2"/>
      <c r="B258" s="2" t="b">
        <v>0</v>
      </c>
      <c r="W258" s="2"/>
    </row>
    <row r="259">
      <c r="A259" s="2"/>
      <c r="B259" s="2" t="b">
        <v>0</v>
      </c>
      <c r="W259" s="2"/>
    </row>
    <row r="260">
      <c r="A260" s="2"/>
      <c r="B260" s="2" t="b">
        <v>0</v>
      </c>
      <c r="W260" s="2"/>
    </row>
    <row r="261">
      <c r="A261" s="2"/>
      <c r="B261" s="2" t="b">
        <v>0</v>
      </c>
      <c r="W261" s="2"/>
    </row>
    <row r="262">
      <c r="A262" s="2"/>
      <c r="B262" s="2" t="b">
        <v>0</v>
      </c>
      <c r="W262" s="2"/>
    </row>
    <row r="263">
      <c r="A263" s="2"/>
      <c r="B263" s="2" t="b">
        <v>0</v>
      </c>
      <c r="W263" s="2"/>
    </row>
    <row r="264">
      <c r="A264" s="2"/>
      <c r="B264" s="2" t="b">
        <v>0</v>
      </c>
      <c r="W264" s="2"/>
    </row>
    <row r="265">
      <c r="A265" s="2"/>
      <c r="B265" s="2" t="b">
        <v>0</v>
      </c>
      <c r="W265" s="2"/>
    </row>
    <row r="266">
      <c r="A266" s="2"/>
      <c r="B266" s="2" t="b">
        <v>0</v>
      </c>
      <c r="W266" s="2"/>
    </row>
    <row r="267">
      <c r="A267" s="2"/>
      <c r="B267" s="2" t="b">
        <v>0</v>
      </c>
      <c r="W267" s="2"/>
    </row>
    <row r="268">
      <c r="A268" s="2"/>
      <c r="B268" s="2" t="b">
        <v>0</v>
      </c>
      <c r="W268" s="2"/>
    </row>
    <row r="269">
      <c r="A269" s="2"/>
      <c r="B269" s="2" t="b">
        <v>0</v>
      </c>
      <c r="W269" s="2"/>
    </row>
    <row r="270">
      <c r="A270" s="2"/>
      <c r="B270" s="2" t="b">
        <v>0</v>
      </c>
      <c r="W270" s="2"/>
    </row>
    <row r="271">
      <c r="A271" s="2"/>
      <c r="B271" s="2" t="b">
        <v>0</v>
      </c>
      <c r="W271" s="2"/>
    </row>
    <row r="272">
      <c r="A272" s="2"/>
      <c r="B272" s="2" t="b">
        <v>0</v>
      </c>
      <c r="W272" s="2"/>
    </row>
    <row r="273">
      <c r="A273" s="2"/>
      <c r="B273" s="2" t="b">
        <v>0</v>
      </c>
      <c r="W273" s="2"/>
    </row>
    <row r="274">
      <c r="A274" s="2"/>
      <c r="B274" s="2" t="b">
        <v>0</v>
      </c>
      <c r="W274" s="2"/>
    </row>
    <row r="275">
      <c r="A275" s="2"/>
      <c r="B275" s="2" t="b">
        <v>0</v>
      </c>
      <c r="W275" s="2"/>
    </row>
    <row r="276">
      <c r="A276" s="2"/>
      <c r="B276" s="2" t="b">
        <v>0</v>
      </c>
      <c r="W276" s="2"/>
    </row>
    <row r="277">
      <c r="A277" s="2"/>
      <c r="B277" s="2" t="b">
        <v>0</v>
      </c>
      <c r="W277" s="2"/>
    </row>
    <row r="278">
      <c r="A278" s="2"/>
      <c r="B278" s="2" t="b">
        <v>0</v>
      </c>
      <c r="W278" s="2"/>
    </row>
    <row r="279">
      <c r="A279" s="2"/>
      <c r="B279" s="2" t="b">
        <v>0</v>
      </c>
      <c r="W279" s="2"/>
    </row>
    <row r="280">
      <c r="A280" s="2"/>
      <c r="B280" s="2" t="b">
        <v>0</v>
      </c>
      <c r="W280" s="2"/>
    </row>
    <row r="281">
      <c r="A281" s="2"/>
      <c r="B281" s="2" t="b">
        <v>0</v>
      </c>
      <c r="W281" s="2"/>
    </row>
    <row r="282">
      <c r="A282" s="2"/>
      <c r="B282" s="2" t="b">
        <v>0</v>
      </c>
      <c r="W282" s="2"/>
    </row>
    <row r="283">
      <c r="A283" s="2"/>
      <c r="B283" s="2" t="b">
        <v>0</v>
      </c>
      <c r="W283" s="2"/>
    </row>
    <row r="284">
      <c r="A284" s="2"/>
      <c r="B284" s="2" t="b">
        <v>0</v>
      </c>
      <c r="W284" s="2"/>
    </row>
    <row r="285">
      <c r="A285" s="2"/>
      <c r="B285" s="2" t="b">
        <v>0</v>
      </c>
      <c r="W285" s="2"/>
    </row>
    <row r="286">
      <c r="A286" s="2"/>
      <c r="B286" s="2" t="b">
        <v>0</v>
      </c>
      <c r="W286" s="2"/>
    </row>
    <row r="287">
      <c r="A287" s="2"/>
      <c r="B287" s="2" t="b">
        <v>0</v>
      </c>
      <c r="W287" s="2"/>
    </row>
    <row r="288">
      <c r="A288" s="2"/>
      <c r="B288" s="2" t="b">
        <v>0</v>
      </c>
      <c r="W288" s="2"/>
    </row>
    <row r="289">
      <c r="A289" s="2"/>
      <c r="B289" s="2" t="b">
        <v>0</v>
      </c>
      <c r="W289" s="2"/>
    </row>
    <row r="290">
      <c r="A290" s="2"/>
      <c r="B290" s="2" t="b">
        <v>0</v>
      </c>
      <c r="W290" s="2"/>
    </row>
    <row r="291">
      <c r="A291" s="2"/>
      <c r="B291" s="2" t="b">
        <v>0</v>
      </c>
      <c r="W291" s="2"/>
    </row>
    <row r="292">
      <c r="A292" s="2"/>
      <c r="B292" s="2" t="b">
        <v>0</v>
      </c>
      <c r="W292" s="2"/>
    </row>
    <row r="293">
      <c r="A293" s="2"/>
      <c r="B293" s="2" t="b">
        <v>0</v>
      </c>
      <c r="W293" s="2"/>
    </row>
    <row r="294">
      <c r="A294" s="2"/>
      <c r="B294" s="2" t="b">
        <v>0</v>
      </c>
      <c r="W294" s="2"/>
    </row>
    <row r="295">
      <c r="A295" s="2"/>
      <c r="B295" s="2" t="b">
        <v>0</v>
      </c>
      <c r="W295" s="2"/>
    </row>
    <row r="296">
      <c r="A296" s="2"/>
      <c r="B296" s="2" t="b">
        <v>0</v>
      </c>
      <c r="W296" s="2"/>
    </row>
    <row r="297">
      <c r="A297" s="2"/>
      <c r="B297" s="2" t="b">
        <v>0</v>
      </c>
      <c r="W297" s="2"/>
    </row>
    <row r="298">
      <c r="A298" s="2"/>
      <c r="B298" s="2" t="b">
        <v>0</v>
      </c>
      <c r="W298" s="2"/>
    </row>
    <row r="299">
      <c r="A299" s="2"/>
      <c r="B299" s="2" t="b">
        <v>0</v>
      </c>
      <c r="W299" s="2"/>
    </row>
    <row r="300">
      <c r="A300" s="2"/>
      <c r="B300" s="2" t="b">
        <v>0</v>
      </c>
      <c r="W300" s="2"/>
    </row>
    <row r="301">
      <c r="A301" s="2"/>
      <c r="B301" s="2" t="b">
        <v>0</v>
      </c>
      <c r="W301" s="2"/>
    </row>
    <row r="302">
      <c r="A302" s="2"/>
      <c r="B302" s="2" t="b">
        <v>0</v>
      </c>
      <c r="W302" s="2"/>
    </row>
    <row r="303">
      <c r="A303" s="2"/>
      <c r="B303" s="2" t="b">
        <v>0</v>
      </c>
      <c r="W303" s="2"/>
    </row>
    <row r="304">
      <c r="A304" s="2"/>
      <c r="B304" s="2" t="b">
        <v>0</v>
      </c>
      <c r="W304" s="2"/>
    </row>
    <row r="305">
      <c r="A305" s="2"/>
      <c r="B305" s="2" t="b">
        <v>0</v>
      </c>
      <c r="W305" s="2"/>
    </row>
    <row r="306">
      <c r="A306" s="2"/>
      <c r="B306" s="2" t="b">
        <v>0</v>
      </c>
      <c r="W306" s="2"/>
    </row>
    <row r="307">
      <c r="A307" s="2"/>
      <c r="B307" s="2" t="b">
        <v>0</v>
      </c>
      <c r="W307" s="2"/>
    </row>
    <row r="308">
      <c r="A308" s="2"/>
      <c r="B308" s="2" t="b">
        <v>0</v>
      </c>
      <c r="W308" s="2"/>
    </row>
    <row r="309">
      <c r="A309" s="2"/>
      <c r="B309" s="2" t="b">
        <v>0</v>
      </c>
      <c r="W309" s="2"/>
    </row>
    <row r="310">
      <c r="A310" s="2"/>
      <c r="B310" s="2" t="b">
        <v>0</v>
      </c>
      <c r="W310" s="2"/>
    </row>
    <row r="311">
      <c r="A311" s="2"/>
      <c r="B311" s="2" t="b">
        <v>0</v>
      </c>
      <c r="W311" s="2"/>
    </row>
    <row r="312">
      <c r="A312" s="2"/>
      <c r="B312" s="2" t="b">
        <v>0</v>
      </c>
      <c r="W312" s="2"/>
    </row>
    <row r="313">
      <c r="A313" s="2"/>
      <c r="B313" s="2" t="b">
        <v>0</v>
      </c>
      <c r="W313" s="2"/>
    </row>
    <row r="314">
      <c r="A314" s="2"/>
      <c r="B314" s="2" t="b">
        <v>0</v>
      </c>
      <c r="W314" s="2"/>
    </row>
    <row r="315">
      <c r="A315" s="2"/>
      <c r="B315" s="2" t="b">
        <v>0</v>
      </c>
      <c r="W315" s="2"/>
    </row>
    <row r="316">
      <c r="A316" s="2"/>
      <c r="B316" s="2" t="b">
        <v>0</v>
      </c>
      <c r="W316" s="2"/>
    </row>
    <row r="317">
      <c r="A317" s="2"/>
      <c r="B317" s="2" t="b">
        <v>0</v>
      </c>
      <c r="W317" s="2"/>
    </row>
    <row r="318">
      <c r="A318" s="2"/>
      <c r="B318" s="2" t="b">
        <v>0</v>
      </c>
      <c r="W318" s="2"/>
    </row>
    <row r="319">
      <c r="A319" s="2"/>
      <c r="B319" s="2" t="b">
        <v>0</v>
      </c>
      <c r="W319" s="2"/>
    </row>
    <row r="320">
      <c r="A320" s="2"/>
      <c r="B320" s="2" t="b">
        <v>0</v>
      </c>
      <c r="W320" s="2"/>
    </row>
    <row r="321">
      <c r="A321" s="2"/>
      <c r="B321" s="2" t="b">
        <v>0</v>
      </c>
      <c r="W321" s="2"/>
    </row>
    <row r="322">
      <c r="A322" s="2"/>
      <c r="B322" s="2" t="b">
        <v>0</v>
      </c>
      <c r="W322" s="2"/>
    </row>
    <row r="323">
      <c r="A323" s="2"/>
      <c r="B323" s="2" t="b">
        <v>0</v>
      </c>
      <c r="W323" s="2"/>
    </row>
    <row r="324">
      <c r="A324" s="2"/>
      <c r="B324" s="2" t="b">
        <v>0</v>
      </c>
      <c r="W324" s="2"/>
    </row>
    <row r="325">
      <c r="A325" s="2"/>
      <c r="B325" s="2" t="b">
        <v>0</v>
      </c>
      <c r="W325" s="2"/>
    </row>
    <row r="326">
      <c r="A326" s="2"/>
      <c r="B326" s="2" t="b">
        <v>0</v>
      </c>
      <c r="W326" s="2"/>
    </row>
    <row r="327">
      <c r="A327" s="2"/>
      <c r="B327" s="2" t="b">
        <v>0</v>
      </c>
      <c r="W327" s="2"/>
    </row>
    <row r="328">
      <c r="A328" s="2"/>
      <c r="B328" s="2" t="b">
        <v>0</v>
      </c>
      <c r="W328" s="2"/>
    </row>
    <row r="329">
      <c r="A329" s="2"/>
      <c r="B329" s="2" t="b">
        <v>0</v>
      </c>
      <c r="W329" s="2"/>
    </row>
    <row r="330">
      <c r="A330" s="2"/>
      <c r="B330" s="2" t="b">
        <v>0</v>
      </c>
      <c r="W330" s="2"/>
    </row>
    <row r="331">
      <c r="A331" s="2"/>
      <c r="B331" s="2" t="b">
        <v>0</v>
      </c>
      <c r="W331" s="2"/>
    </row>
    <row r="332">
      <c r="A332" s="2"/>
      <c r="B332" s="2" t="b">
        <v>0</v>
      </c>
      <c r="W332" s="2"/>
    </row>
    <row r="333">
      <c r="A333" s="2"/>
      <c r="B333" s="2" t="b">
        <v>0</v>
      </c>
      <c r="W333" s="2"/>
    </row>
    <row r="334">
      <c r="A334" s="2"/>
      <c r="B334" s="2" t="b">
        <v>0</v>
      </c>
      <c r="W334" s="2"/>
    </row>
    <row r="335">
      <c r="A335" s="2"/>
      <c r="B335" s="2" t="b">
        <v>0</v>
      </c>
      <c r="W335" s="2"/>
    </row>
    <row r="336">
      <c r="A336" s="2"/>
      <c r="B336" s="2" t="b">
        <v>0</v>
      </c>
      <c r="W336" s="2"/>
    </row>
    <row r="337">
      <c r="A337" s="2"/>
      <c r="B337" s="2" t="b">
        <v>0</v>
      </c>
      <c r="W337" s="2"/>
    </row>
    <row r="338">
      <c r="A338" s="2"/>
      <c r="B338" s="2" t="b">
        <v>0</v>
      </c>
      <c r="W338" s="2"/>
    </row>
    <row r="339">
      <c r="A339" s="2"/>
      <c r="B339" s="2" t="b">
        <v>0</v>
      </c>
      <c r="W339" s="2"/>
    </row>
    <row r="340">
      <c r="A340" s="2"/>
      <c r="B340" s="2" t="b">
        <v>0</v>
      </c>
      <c r="W340" s="2"/>
    </row>
    <row r="341">
      <c r="A341" s="2"/>
      <c r="B341" s="2" t="b">
        <v>0</v>
      </c>
      <c r="W341" s="2"/>
    </row>
    <row r="342">
      <c r="A342" s="2"/>
      <c r="B342" s="2" t="b">
        <v>0</v>
      </c>
      <c r="W342" s="2"/>
    </row>
    <row r="343">
      <c r="A343" s="2"/>
      <c r="B343" s="2" t="b">
        <v>0</v>
      </c>
      <c r="W343" s="2"/>
    </row>
    <row r="344">
      <c r="A344" s="2"/>
      <c r="B344" s="2" t="b">
        <v>0</v>
      </c>
      <c r="W344" s="2"/>
    </row>
    <row r="345">
      <c r="A345" s="2"/>
      <c r="B345" s="2" t="b">
        <v>0</v>
      </c>
      <c r="W345" s="2"/>
    </row>
    <row r="346">
      <c r="A346" s="2"/>
      <c r="B346" s="2" t="b">
        <v>0</v>
      </c>
      <c r="W346" s="2"/>
    </row>
    <row r="347">
      <c r="A347" s="2"/>
      <c r="B347" s="2" t="b">
        <v>0</v>
      </c>
      <c r="W347" s="2"/>
    </row>
    <row r="348">
      <c r="A348" s="2"/>
      <c r="B348" s="2" t="b">
        <v>0</v>
      </c>
      <c r="W348" s="2"/>
    </row>
    <row r="349">
      <c r="A349" s="2"/>
      <c r="B349" s="2" t="b">
        <v>0</v>
      </c>
      <c r="W349" s="2"/>
    </row>
    <row r="350">
      <c r="A350" s="2"/>
      <c r="B350" s="2" t="b">
        <v>0</v>
      </c>
      <c r="W350" s="2"/>
    </row>
    <row r="351">
      <c r="A351" s="2"/>
      <c r="B351" s="2" t="b">
        <v>0</v>
      </c>
      <c r="W351" s="2"/>
    </row>
    <row r="352">
      <c r="A352" s="2"/>
      <c r="B352" s="2" t="b">
        <v>0</v>
      </c>
      <c r="W352" s="2"/>
    </row>
    <row r="353">
      <c r="A353" s="2"/>
      <c r="B353" s="2" t="b">
        <v>0</v>
      </c>
      <c r="W353" s="2"/>
    </row>
    <row r="354">
      <c r="A354" s="2"/>
      <c r="B354" s="2" t="b">
        <v>0</v>
      </c>
      <c r="W354" s="2"/>
    </row>
    <row r="355">
      <c r="A355" s="2"/>
      <c r="B355" s="2" t="b">
        <v>0</v>
      </c>
      <c r="W355" s="2"/>
    </row>
    <row r="356">
      <c r="A356" s="2"/>
      <c r="B356" s="2" t="b">
        <v>0</v>
      </c>
      <c r="W356" s="2"/>
    </row>
    <row r="357">
      <c r="A357" s="2"/>
      <c r="B357" s="2" t="b">
        <v>0</v>
      </c>
      <c r="W357" s="2"/>
    </row>
    <row r="358">
      <c r="A358" s="2"/>
      <c r="B358" s="2" t="b">
        <v>0</v>
      </c>
      <c r="W358" s="2"/>
    </row>
    <row r="359">
      <c r="A359" s="2"/>
      <c r="B359" s="2" t="b">
        <v>0</v>
      </c>
      <c r="W359" s="2"/>
    </row>
    <row r="360">
      <c r="A360" s="2"/>
      <c r="B360" s="2" t="b">
        <v>0</v>
      </c>
      <c r="W360" s="2"/>
    </row>
    <row r="361">
      <c r="A361" s="2"/>
      <c r="B361" s="2" t="b">
        <v>0</v>
      </c>
      <c r="W361" s="2"/>
    </row>
    <row r="362">
      <c r="A362" s="2"/>
      <c r="B362" s="2" t="b">
        <v>0</v>
      </c>
      <c r="W362" s="2"/>
    </row>
    <row r="363">
      <c r="A363" s="2"/>
      <c r="B363" s="2" t="b">
        <v>0</v>
      </c>
      <c r="W363" s="2"/>
    </row>
    <row r="364">
      <c r="A364" s="2"/>
      <c r="B364" s="2" t="b">
        <v>0</v>
      </c>
      <c r="W364" s="2"/>
    </row>
    <row r="365">
      <c r="A365" s="2"/>
      <c r="B365" s="2" t="b">
        <v>0</v>
      </c>
      <c r="W365" s="2"/>
    </row>
    <row r="366">
      <c r="A366" s="2"/>
      <c r="B366" s="2" t="b">
        <v>0</v>
      </c>
      <c r="W366" s="2"/>
    </row>
    <row r="367">
      <c r="A367" s="2"/>
      <c r="B367" s="2" t="b">
        <v>0</v>
      </c>
      <c r="W367" s="2"/>
    </row>
    <row r="368">
      <c r="A368" s="2"/>
      <c r="B368" s="2" t="b">
        <v>0</v>
      </c>
      <c r="W368" s="2"/>
    </row>
    <row r="369">
      <c r="A369" s="2"/>
      <c r="B369" s="2" t="b">
        <v>0</v>
      </c>
      <c r="W369" s="2"/>
    </row>
    <row r="370">
      <c r="A370" s="2"/>
      <c r="B370" s="2" t="b">
        <v>0</v>
      </c>
      <c r="W370" s="2"/>
    </row>
    <row r="371">
      <c r="A371" s="2"/>
      <c r="B371" s="2" t="b">
        <v>0</v>
      </c>
      <c r="W371" s="2"/>
    </row>
    <row r="372">
      <c r="A372" s="2"/>
      <c r="B372" s="2" t="b">
        <v>0</v>
      </c>
      <c r="W372" s="2"/>
    </row>
    <row r="373">
      <c r="A373" s="2"/>
      <c r="B373" s="2" t="b">
        <v>0</v>
      </c>
      <c r="W373" s="2"/>
    </row>
    <row r="374">
      <c r="A374" s="2"/>
      <c r="B374" s="2" t="b">
        <v>0</v>
      </c>
      <c r="W374" s="2"/>
    </row>
    <row r="375">
      <c r="A375" s="2"/>
      <c r="B375" s="2" t="b">
        <v>0</v>
      </c>
      <c r="W375" s="2"/>
    </row>
    <row r="376">
      <c r="A376" s="2"/>
      <c r="B376" s="2" t="b">
        <v>0</v>
      </c>
      <c r="W376" s="2"/>
    </row>
    <row r="377">
      <c r="A377" s="2"/>
      <c r="B377" s="2" t="b">
        <v>0</v>
      </c>
      <c r="W377" s="2"/>
    </row>
    <row r="378">
      <c r="A378" s="2"/>
      <c r="B378" s="2" t="b">
        <v>0</v>
      </c>
      <c r="W378" s="2"/>
    </row>
    <row r="379">
      <c r="A379" s="2"/>
      <c r="B379" s="2" t="b">
        <v>0</v>
      </c>
      <c r="W379" s="2"/>
    </row>
    <row r="380">
      <c r="A380" s="2"/>
      <c r="B380" s="2" t="b">
        <v>0</v>
      </c>
      <c r="W380" s="2"/>
    </row>
    <row r="381">
      <c r="A381" s="2"/>
      <c r="B381" s="2" t="b">
        <v>0</v>
      </c>
      <c r="W381" s="2"/>
    </row>
    <row r="382">
      <c r="A382" s="2"/>
      <c r="B382" s="2" t="b">
        <v>0</v>
      </c>
      <c r="W382" s="2"/>
    </row>
    <row r="383">
      <c r="A383" s="2"/>
      <c r="B383" s="2" t="b">
        <v>0</v>
      </c>
      <c r="W383" s="2"/>
    </row>
    <row r="384">
      <c r="A384" s="2"/>
      <c r="B384" s="2" t="b">
        <v>0</v>
      </c>
      <c r="W384" s="2"/>
    </row>
    <row r="385">
      <c r="A385" s="2"/>
      <c r="B385" s="2" t="b">
        <v>0</v>
      </c>
      <c r="W385" s="2"/>
    </row>
    <row r="386">
      <c r="A386" s="2"/>
      <c r="B386" s="2" t="b">
        <v>0</v>
      </c>
      <c r="W386" s="2"/>
    </row>
    <row r="387">
      <c r="A387" s="2"/>
      <c r="B387" s="2" t="b">
        <v>0</v>
      </c>
      <c r="W387" s="2"/>
    </row>
    <row r="388">
      <c r="A388" s="2"/>
      <c r="B388" s="2" t="b">
        <v>0</v>
      </c>
      <c r="W388" s="2"/>
    </row>
    <row r="389">
      <c r="A389" s="2"/>
      <c r="B389" s="2" t="b">
        <v>0</v>
      </c>
      <c r="W389" s="2"/>
    </row>
    <row r="390">
      <c r="A390" s="2"/>
      <c r="B390" s="2" t="b">
        <v>0</v>
      </c>
      <c r="W390" s="2"/>
    </row>
    <row r="391">
      <c r="A391" s="2"/>
      <c r="B391" s="2" t="b">
        <v>0</v>
      </c>
      <c r="W391" s="2"/>
    </row>
    <row r="392">
      <c r="A392" s="2"/>
      <c r="B392" s="2" t="b">
        <v>0</v>
      </c>
      <c r="W392" s="2"/>
    </row>
    <row r="393">
      <c r="A393" s="2"/>
      <c r="B393" s="2" t="b">
        <v>0</v>
      </c>
      <c r="W393" s="2"/>
    </row>
    <row r="394">
      <c r="A394" s="2"/>
      <c r="B394" s="2" t="b">
        <v>0</v>
      </c>
      <c r="W394" s="2"/>
    </row>
    <row r="395">
      <c r="A395" s="2"/>
      <c r="B395" s="2" t="b">
        <v>0</v>
      </c>
      <c r="W395" s="2"/>
    </row>
    <row r="396">
      <c r="A396" s="2"/>
      <c r="B396" s="2" t="b">
        <v>0</v>
      </c>
      <c r="W396" s="2"/>
    </row>
    <row r="397">
      <c r="A397" s="2"/>
      <c r="B397" s="2" t="b">
        <v>0</v>
      </c>
      <c r="W397" s="2"/>
    </row>
    <row r="398">
      <c r="A398" s="2"/>
      <c r="B398" s="2" t="b">
        <v>0</v>
      </c>
      <c r="W398" s="2"/>
    </row>
    <row r="399">
      <c r="A399" s="2"/>
      <c r="B399" s="2" t="b">
        <v>0</v>
      </c>
      <c r="W399" s="2"/>
    </row>
    <row r="400">
      <c r="A400" s="2"/>
      <c r="B400" s="2" t="b">
        <v>0</v>
      </c>
      <c r="W400" s="2"/>
    </row>
    <row r="401">
      <c r="A401" s="2"/>
      <c r="B401" s="2" t="b">
        <v>0</v>
      </c>
      <c r="W401" s="2"/>
    </row>
    <row r="402">
      <c r="A402" s="2"/>
      <c r="B402" s="2" t="b">
        <v>0</v>
      </c>
      <c r="W402" s="2"/>
    </row>
    <row r="403">
      <c r="A403" s="2"/>
      <c r="B403" s="2" t="b">
        <v>0</v>
      </c>
      <c r="W403" s="2"/>
    </row>
    <row r="404">
      <c r="A404" s="2"/>
      <c r="B404" s="2" t="b">
        <v>0</v>
      </c>
      <c r="W404" s="2"/>
    </row>
    <row r="405">
      <c r="A405" s="2"/>
      <c r="B405" s="2" t="b">
        <v>0</v>
      </c>
      <c r="W405" s="2"/>
    </row>
    <row r="406">
      <c r="A406" s="2"/>
      <c r="B406" s="2" t="b">
        <v>0</v>
      </c>
      <c r="W406" s="2"/>
    </row>
    <row r="407">
      <c r="A407" s="2"/>
      <c r="B407" s="2" t="b">
        <v>0</v>
      </c>
      <c r="W407" s="2"/>
    </row>
    <row r="408">
      <c r="A408" s="2"/>
      <c r="B408" s="2" t="b">
        <v>0</v>
      </c>
      <c r="W408" s="2"/>
    </row>
    <row r="409">
      <c r="A409" s="2"/>
      <c r="B409" s="2" t="b">
        <v>0</v>
      </c>
      <c r="W409" s="2"/>
    </row>
    <row r="410">
      <c r="A410" s="2"/>
      <c r="B410" s="2" t="b">
        <v>0</v>
      </c>
      <c r="W410" s="2"/>
    </row>
    <row r="411">
      <c r="A411" s="2"/>
      <c r="B411" s="2" t="b">
        <v>0</v>
      </c>
      <c r="W411" s="2"/>
    </row>
    <row r="412">
      <c r="A412" s="2"/>
      <c r="B412" s="2" t="b">
        <v>0</v>
      </c>
      <c r="W412" s="2"/>
    </row>
    <row r="413">
      <c r="A413" s="2"/>
      <c r="B413" s="2" t="b">
        <v>0</v>
      </c>
      <c r="W413" s="2"/>
    </row>
    <row r="414">
      <c r="A414" s="2"/>
      <c r="B414" s="2" t="b">
        <v>0</v>
      </c>
      <c r="W414" s="2"/>
    </row>
    <row r="415">
      <c r="A415" s="2"/>
      <c r="B415" s="2" t="b">
        <v>0</v>
      </c>
      <c r="W415" s="2"/>
    </row>
    <row r="416">
      <c r="A416" s="2"/>
      <c r="B416" s="2" t="b">
        <v>0</v>
      </c>
      <c r="W416" s="2"/>
    </row>
    <row r="417">
      <c r="A417" s="2"/>
      <c r="B417" s="2" t="b">
        <v>0</v>
      </c>
      <c r="W417" s="2"/>
    </row>
    <row r="418">
      <c r="A418" s="2"/>
      <c r="B418" s="2" t="b">
        <v>0</v>
      </c>
      <c r="W418" s="2"/>
    </row>
    <row r="419">
      <c r="A419" s="2"/>
      <c r="B419" s="2" t="b">
        <v>0</v>
      </c>
      <c r="W419" s="2"/>
    </row>
    <row r="420">
      <c r="A420" s="2"/>
      <c r="B420" s="2" t="b">
        <v>0</v>
      </c>
      <c r="W420" s="2"/>
    </row>
    <row r="421">
      <c r="A421" s="2"/>
      <c r="B421" s="2" t="b">
        <v>0</v>
      </c>
      <c r="W421" s="2"/>
    </row>
    <row r="422">
      <c r="A422" s="2"/>
      <c r="B422" s="2" t="b">
        <v>0</v>
      </c>
      <c r="W422" s="2"/>
    </row>
    <row r="423">
      <c r="A423" s="2"/>
      <c r="B423" s="2" t="b">
        <v>0</v>
      </c>
      <c r="W423" s="2"/>
    </row>
    <row r="424">
      <c r="A424" s="2"/>
      <c r="B424" s="2" t="b">
        <v>0</v>
      </c>
      <c r="W424" s="2"/>
    </row>
    <row r="425">
      <c r="A425" s="2"/>
      <c r="B425" s="2" t="b">
        <v>0</v>
      </c>
      <c r="W425" s="2"/>
    </row>
    <row r="426">
      <c r="A426" s="2"/>
      <c r="B426" s="2" t="b">
        <v>0</v>
      </c>
      <c r="W426" s="2"/>
    </row>
    <row r="427">
      <c r="A427" s="2"/>
      <c r="B427" s="2" t="b">
        <v>0</v>
      </c>
      <c r="W427" s="2"/>
    </row>
    <row r="428">
      <c r="A428" s="2"/>
      <c r="B428" s="2" t="b">
        <v>0</v>
      </c>
      <c r="W428" s="2"/>
    </row>
    <row r="429">
      <c r="A429" s="2"/>
      <c r="B429" s="2" t="b">
        <v>0</v>
      </c>
      <c r="W429" s="2"/>
    </row>
    <row r="430">
      <c r="A430" s="2"/>
      <c r="B430" s="2" t="b">
        <v>0</v>
      </c>
      <c r="W430" s="2"/>
    </row>
    <row r="431">
      <c r="A431" s="2"/>
      <c r="B431" s="2" t="b">
        <v>0</v>
      </c>
      <c r="W431" s="2"/>
    </row>
    <row r="432">
      <c r="A432" s="2"/>
      <c r="B432" s="2" t="b">
        <v>0</v>
      </c>
      <c r="W432" s="2"/>
    </row>
    <row r="433">
      <c r="A433" s="2"/>
      <c r="B433" s="2" t="b">
        <v>0</v>
      </c>
      <c r="W433" s="2"/>
    </row>
    <row r="434">
      <c r="A434" s="2"/>
      <c r="B434" s="2" t="b">
        <v>0</v>
      </c>
      <c r="W434" s="2"/>
    </row>
    <row r="435">
      <c r="A435" s="2"/>
      <c r="B435" s="2" t="b">
        <v>0</v>
      </c>
      <c r="W435" s="2"/>
    </row>
    <row r="436">
      <c r="A436" s="2"/>
      <c r="B436" s="2" t="b">
        <v>0</v>
      </c>
      <c r="W436" s="2"/>
    </row>
    <row r="437">
      <c r="A437" s="2"/>
      <c r="B437" s="2" t="b">
        <v>0</v>
      </c>
      <c r="W437" s="2"/>
    </row>
    <row r="438">
      <c r="A438" s="2"/>
      <c r="B438" s="2" t="b">
        <v>0</v>
      </c>
      <c r="W438" s="2"/>
    </row>
    <row r="439">
      <c r="A439" s="2"/>
      <c r="B439" s="2" t="b">
        <v>0</v>
      </c>
      <c r="W439" s="2"/>
    </row>
    <row r="440">
      <c r="A440" s="2"/>
      <c r="B440" s="2" t="b">
        <v>0</v>
      </c>
      <c r="W440" s="2"/>
    </row>
    <row r="441">
      <c r="A441" s="2"/>
      <c r="B441" s="2" t="b">
        <v>0</v>
      </c>
      <c r="W441" s="2"/>
    </row>
    <row r="442">
      <c r="A442" s="2"/>
      <c r="B442" s="2" t="b">
        <v>0</v>
      </c>
      <c r="W442" s="2"/>
    </row>
    <row r="443">
      <c r="A443" s="2"/>
      <c r="B443" s="2" t="b">
        <v>0</v>
      </c>
      <c r="W443" s="2"/>
    </row>
    <row r="444">
      <c r="A444" s="2"/>
      <c r="B444" s="2" t="b">
        <v>0</v>
      </c>
      <c r="W444" s="2"/>
    </row>
    <row r="445">
      <c r="A445" s="2"/>
      <c r="B445" s="2" t="b">
        <v>0</v>
      </c>
      <c r="W445" s="2"/>
    </row>
    <row r="446">
      <c r="A446" s="2"/>
      <c r="B446" s="2" t="b">
        <v>0</v>
      </c>
      <c r="W446" s="2"/>
    </row>
    <row r="447">
      <c r="A447" s="2"/>
      <c r="B447" s="2" t="b">
        <v>0</v>
      </c>
      <c r="W447" s="2"/>
    </row>
    <row r="448">
      <c r="A448" s="2"/>
      <c r="B448" s="2" t="b">
        <v>0</v>
      </c>
      <c r="W448" s="2"/>
    </row>
    <row r="449">
      <c r="A449" s="2"/>
      <c r="B449" s="2" t="b">
        <v>0</v>
      </c>
      <c r="W449" s="2"/>
    </row>
    <row r="450">
      <c r="A450" s="2"/>
      <c r="B450" s="2" t="b">
        <v>0</v>
      </c>
      <c r="W450" s="2"/>
    </row>
    <row r="451">
      <c r="A451" s="2"/>
      <c r="B451" s="2" t="b">
        <v>0</v>
      </c>
      <c r="W451" s="2"/>
    </row>
    <row r="452">
      <c r="A452" s="2"/>
      <c r="B452" s="2" t="b">
        <v>0</v>
      </c>
      <c r="W452" s="2"/>
    </row>
    <row r="453">
      <c r="A453" s="2"/>
      <c r="B453" s="2" t="b">
        <v>0</v>
      </c>
      <c r="W453" s="2"/>
    </row>
    <row r="454">
      <c r="A454" s="2"/>
      <c r="B454" s="2" t="b">
        <v>0</v>
      </c>
      <c r="W454" s="2"/>
    </row>
    <row r="455">
      <c r="A455" s="2"/>
      <c r="B455" s="2" t="b">
        <v>0</v>
      </c>
      <c r="W455" s="2"/>
    </row>
    <row r="456">
      <c r="A456" s="2"/>
      <c r="B456" s="2" t="b">
        <v>0</v>
      </c>
      <c r="W456" s="2"/>
    </row>
    <row r="457">
      <c r="A457" s="2"/>
      <c r="B457" s="2" t="b">
        <v>0</v>
      </c>
      <c r="W457" s="2"/>
    </row>
    <row r="458">
      <c r="A458" s="2"/>
      <c r="B458" s="2" t="b">
        <v>0</v>
      </c>
      <c r="W458" s="2"/>
    </row>
    <row r="459">
      <c r="A459" s="2"/>
      <c r="B459" s="2" t="b">
        <v>0</v>
      </c>
      <c r="W459" s="2"/>
    </row>
    <row r="460">
      <c r="A460" s="2"/>
      <c r="B460" s="2" t="b">
        <v>0</v>
      </c>
      <c r="W460" s="2"/>
    </row>
    <row r="461">
      <c r="A461" s="2"/>
      <c r="B461" s="2" t="b">
        <v>0</v>
      </c>
      <c r="W461" s="2"/>
    </row>
    <row r="462">
      <c r="A462" s="2"/>
      <c r="B462" s="2" t="b">
        <v>0</v>
      </c>
      <c r="W462" s="2"/>
    </row>
    <row r="463">
      <c r="A463" s="2"/>
      <c r="B463" s="2" t="b">
        <v>0</v>
      </c>
      <c r="W463" s="2"/>
    </row>
    <row r="464">
      <c r="A464" s="2"/>
      <c r="B464" s="2" t="b">
        <v>0</v>
      </c>
      <c r="W464" s="2"/>
    </row>
    <row r="465">
      <c r="A465" s="2"/>
      <c r="B465" s="2" t="b">
        <v>0</v>
      </c>
      <c r="W465" s="2"/>
    </row>
    <row r="466">
      <c r="A466" s="2"/>
      <c r="B466" s="2" t="b">
        <v>0</v>
      </c>
      <c r="W466" s="2"/>
    </row>
    <row r="467">
      <c r="A467" s="2"/>
      <c r="B467" s="2" t="b">
        <v>0</v>
      </c>
      <c r="W467" s="2"/>
    </row>
    <row r="468">
      <c r="A468" s="2"/>
      <c r="B468" s="2" t="b">
        <v>0</v>
      </c>
      <c r="W468" s="2"/>
    </row>
    <row r="469">
      <c r="A469" s="2"/>
      <c r="B469" s="2" t="b">
        <v>0</v>
      </c>
      <c r="W469" s="2"/>
    </row>
    <row r="470">
      <c r="A470" s="2"/>
      <c r="B470" s="2" t="b">
        <v>0</v>
      </c>
      <c r="W470" s="2"/>
    </row>
    <row r="471">
      <c r="A471" s="2"/>
      <c r="B471" s="2" t="b">
        <v>0</v>
      </c>
      <c r="W471" s="2"/>
    </row>
    <row r="472">
      <c r="A472" s="2"/>
      <c r="B472" s="2" t="b">
        <v>0</v>
      </c>
      <c r="W472" s="2"/>
    </row>
    <row r="473">
      <c r="A473" s="2"/>
      <c r="B473" s="2" t="b">
        <v>0</v>
      </c>
      <c r="W473" s="2"/>
    </row>
    <row r="474">
      <c r="A474" s="2"/>
      <c r="B474" s="2" t="b">
        <v>0</v>
      </c>
      <c r="W474" s="2"/>
    </row>
    <row r="475">
      <c r="A475" s="2"/>
      <c r="B475" s="2" t="b">
        <v>0</v>
      </c>
      <c r="W475" s="2"/>
    </row>
    <row r="476">
      <c r="A476" s="2"/>
      <c r="B476" s="2" t="b">
        <v>0</v>
      </c>
      <c r="W476" s="2"/>
    </row>
    <row r="477">
      <c r="A477" s="2"/>
      <c r="B477" s="2" t="b">
        <v>0</v>
      </c>
      <c r="W477" s="2"/>
    </row>
    <row r="478">
      <c r="A478" s="2"/>
      <c r="B478" s="2" t="b">
        <v>0</v>
      </c>
      <c r="W478" s="2"/>
    </row>
    <row r="479">
      <c r="A479" s="2"/>
      <c r="B479" s="2" t="b">
        <v>0</v>
      </c>
      <c r="W479" s="2"/>
    </row>
    <row r="480">
      <c r="A480" s="2"/>
      <c r="B480" s="2" t="b">
        <v>0</v>
      </c>
      <c r="W480" s="2"/>
    </row>
    <row r="481">
      <c r="A481" s="2"/>
      <c r="B481" s="2" t="b">
        <v>0</v>
      </c>
      <c r="W481" s="2"/>
    </row>
    <row r="482">
      <c r="A482" s="2"/>
      <c r="B482" s="2" t="b">
        <v>0</v>
      </c>
      <c r="W482" s="2"/>
    </row>
    <row r="483">
      <c r="A483" s="2"/>
      <c r="B483" s="2" t="b">
        <v>0</v>
      </c>
      <c r="W483" s="2"/>
    </row>
    <row r="484">
      <c r="A484" s="2"/>
      <c r="B484" s="2" t="b">
        <v>0</v>
      </c>
      <c r="W484" s="2"/>
    </row>
    <row r="485">
      <c r="A485" s="2"/>
      <c r="B485" s="2" t="b">
        <v>0</v>
      </c>
      <c r="W485" s="2"/>
    </row>
    <row r="486">
      <c r="A486" s="2"/>
      <c r="B486" s="2" t="b">
        <v>0</v>
      </c>
      <c r="W486" s="2"/>
    </row>
    <row r="487">
      <c r="A487" s="2"/>
      <c r="B487" s="2" t="b">
        <v>0</v>
      </c>
      <c r="W487" s="2"/>
    </row>
    <row r="488">
      <c r="A488" s="2"/>
      <c r="B488" s="2" t="b">
        <v>0</v>
      </c>
      <c r="W488" s="2"/>
    </row>
    <row r="489">
      <c r="A489" s="2"/>
      <c r="B489" s="2" t="b">
        <v>0</v>
      </c>
      <c r="W489" s="2"/>
    </row>
    <row r="490">
      <c r="A490" s="2"/>
      <c r="B490" s="2" t="b">
        <v>0</v>
      </c>
      <c r="W490" s="2"/>
    </row>
    <row r="491">
      <c r="A491" s="2"/>
      <c r="B491" s="2" t="b">
        <v>0</v>
      </c>
      <c r="W491" s="2"/>
    </row>
    <row r="492">
      <c r="A492" s="2"/>
      <c r="B492" s="2" t="b">
        <v>0</v>
      </c>
      <c r="W492" s="2"/>
    </row>
    <row r="493">
      <c r="A493" s="2"/>
      <c r="B493" s="2" t="b">
        <v>0</v>
      </c>
      <c r="W493" s="2"/>
    </row>
    <row r="494">
      <c r="A494" s="2"/>
      <c r="B494" s="2" t="b">
        <v>0</v>
      </c>
      <c r="W494" s="2"/>
    </row>
    <row r="495">
      <c r="A495" s="2"/>
      <c r="B495" s="2" t="b">
        <v>0</v>
      </c>
      <c r="W495" s="2"/>
    </row>
    <row r="496">
      <c r="A496" s="2"/>
      <c r="B496" s="2" t="b">
        <v>0</v>
      </c>
      <c r="W496" s="2"/>
    </row>
    <row r="497">
      <c r="A497" s="2"/>
      <c r="B497" s="2" t="b">
        <v>0</v>
      </c>
      <c r="W497" s="2"/>
    </row>
    <row r="498">
      <c r="A498" s="2"/>
      <c r="B498" s="2" t="b">
        <v>0</v>
      </c>
      <c r="W498" s="2"/>
    </row>
    <row r="499">
      <c r="A499" s="2"/>
      <c r="B499" s="2" t="b">
        <v>0</v>
      </c>
      <c r="W499" s="2"/>
    </row>
    <row r="500">
      <c r="A500" s="2"/>
      <c r="B500" s="2" t="b">
        <v>0</v>
      </c>
      <c r="W500" s="2"/>
    </row>
    <row r="501">
      <c r="A501" s="2"/>
      <c r="B501" s="2" t="b">
        <v>0</v>
      </c>
      <c r="W501" s="2"/>
    </row>
    <row r="502">
      <c r="A502" s="2"/>
      <c r="B502" s="2" t="b">
        <v>0</v>
      </c>
      <c r="W502" s="2"/>
    </row>
    <row r="503">
      <c r="A503" s="2"/>
      <c r="B503" s="2" t="b">
        <v>0</v>
      </c>
      <c r="W503" s="2"/>
    </row>
    <row r="504">
      <c r="A504" s="2"/>
      <c r="B504" s="2" t="b">
        <v>0</v>
      </c>
      <c r="W504" s="2"/>
    </row>
    <row r="505">
      <c r="A505" s="2"/>
      <c r="B505" s="2" t="b">
        <v>0</v>
      </c>
      <c r="W505" s="2"/>
    </row>
    <row r="506">
      <c r="A506" s="2"/>
      <c r="B506" s="2" t="b">
        <v>0</v>
      </c>
      <c r="W506" s="2"/>
    </row>
    <row r="507">
      <c r="A507" s="2"/>
      <c r="B507" s="2" t="b">
        <v>0</v>
      </c>
      <c r="W507" s="2"/>
    </row>
    <row r="508">
      <c r="A508" s="2"/>
      <c r="B508" s="2" t="b">
        <v>0</v>
      </c>
      <c r="W508" s="2"/>
    </row>
    <row r="509">
      <c r="A509" s="2"/>
      <c r="B509" s="2" t="b">
        <v>0</v>
      </c>
      <c r="W509" s="2"/>
    </row>
    <row r="510">
      <c r="A510" s="2"/>
      <c r="B510" s="2" t="b">
        <v>0</v>
      </c>
      <c r="W510" s="2"/>
    </row>
    <row r="511">
      <c r="A511" s="2"/>
      <c r="B511" s="2" t="b">
        <v>0</v>
      </c>
      <c r="W511" s="2"/>
    </row>
    <row r="512">
      <c r="A512" s="2"/>
      <c r="B512" s="2" t="b">
        <v>0</v>
      </c>
      <c r="W512" s="2"/>
    </row>
    <row r="513">
      <c r="A513" s="2"/>
      <c r="B513" s="2" t="b">
        <v>0</v>
      </c>
      <c r="W513" s="2"/>
    </row>
    <row r="514">
      <c r="A514" s="2"/>
      <c r="B514" s="2" t="b">
        <v>0</v>
      </c>
      <c r="W514" s="2"/>
    </row>
    <row r="515">
      <c r="A515" s="2"/>
      <c r="B515" s="2" t="b">
        <v>0</v>
      </c>
      <c r="W515" s="2"/>
    </row>
    <row r="516">
      <c r="A516" s="2"/>
      <c r="B516" s="2" t="b">
        <v>0</v>
      </c>
      <c r="W516" s="2"/>
    </row>
    <row r="517">
      <c r="A517" s="2"/>
      <c r="B517" s="2" t="b">
        <v>0</v>
      </c>
      <c r="W517" s="2"/>
    </row>
    <row r="518">
      <c r="A518" s="2"/>
      <c r="B518" s="2" t="b">
        <v>0</v>
      </c>
      <c r="W518" s="2"/>
    </row>
    <row r="519">
      <c r="A519" s="2"/>
      <c r="B519" s="2" t="b">
        <v>0</v>
      </c>
      <c r="W519" s="2"/>
    </row>
    <row r="520">
      <c r="A520" s="2"/>
      <c r="B520" s="2" t="b">
        <v>0</v>
      </c>
      <c r="W520" s="2"/>
    </row>
    <row r="521">
      <c r="A521" s="2"/>
      <c r="B521" s="2" t="b">
        <v>0</v>
      </c>
      <c r="W521" s="2"/>
    </row>
    <row r="522">
      <c r="A522" s="2"/>
      <c r="B522" s="2" t="b">
        <v>0</v>
      </c>
      <c r="W522" s="2"/>
    </row>
    <row r="523">
      <c r="A523" s="2"/>
      <c r="B523" s="2" t="b">
        <v>0</v>
      </c>
      <c r="W523" s="2"/>
    </row>
    <row r="524">
      <c r="A524" s="2"/>
      <c r="B524" s="2" t="b">
        <v>0</v>
      </c>
      <c r="W524" s="2"/>
    </row>
    <row r="525">
      <c r="A525" s="2"/>
      <c r="B525" s="2" t="b">
        <v>0</v>
      </c>
      <c r="W525" s="2"/>
    </row>
    <row r="526">
      <c r="A526" s="2"/>
      <c r="B526" s="2" t="b">
        <v>0</v>
      </c>
      <c r="W526" s="2"/>
    </row>
    <row r="527">
      <c r="A527" s="2"/>
      <c r="B527" s="2" t="b">
        <v>0</v>
      </c>
      <c r="W527" s="2"/>
    </row>
    <row r="528">
      <c r="A528" s="2"/>
      <c r="B528" s="2" t="b">
        <v>0</v>
      </c>
      <c r="W528" s="2"/>
    </row>
    <row r="529">
      <c r="A529" s="2"/>
      <c r="B529" s="2" t="b">
        <v>0</v>
      </c>
      <c r="W529" s="2"/>
    </row>
    <row r="530">
      <c r="A530" s="2"/>
      <c r="B530" s="2" t="b">
        <v>0</v>
      </c>
      <c r="W530" s="2"/>
    </row>
    <row r="531">
      <c r="A531" s="2"/>
      <c r="B531" s="2" t="b">
        <v>0</v>
      </c>
      <c r="W531" s="2"/>
    </row>
    <row r="532">
      <c r="A532" s="2"/>
      <c r="B532" s="2" t="b">
        <v>0</v>
      </c>
      <c r="W532" s="2"/>
    </row>
    <row r="533">
      <c r="A533" s="2"/>
      <c r="B533" s="2" t="b">
        <v>0</v>
      </c>
      <c r="W533" s="2"/>
    </row>
    <row r="534">
      <c r="A534" s="2"/>
      <c r="B534" s="2" t="b">
        <v>0</v>
      </c>
      <c r="W534" s="2"/>
    </row>
    <row r="535">
      <c r="A535" s="2"/>
      <c r="B535" s="2" t="b">
        <v>0</v>
      </c>
      <c r="W535" s="2"/>
    </row>
    <row r="536">
      <c r="A536" s="2"/>
      <c r="B536" s="2" t="b">
        <v>0</v>
      </c>
      <c r="W536" s="2"/>
    </row>
    <row r="537">
      <c r="A537" s="2"/>
      <c r="B537" s="2" t="b">
        <v>0</v>
      </c>
      <c r="W537" s="2"/>
    </row>
    <row r="538">
      <c r="A538" s="2"/>
      <c r="B538" s="2" t="b">
        <v>0</v>
      </c>
      <c r="W538" s="2"/>
    </row>
    <row r="539">
      <c r="A539" s="2"/>
      <c r="B539" s="2" t="b">
        <v>0</v>
      </c>
      <c r="W539" s="2"/>
    </row>
    <row r="540">
      <c r="A540" s="2"/>
      <c r="B540" s="2" t="b">
        <v>0</v>
      </c>
      <c r="W540" s="2"/>
    </row>
    <row r="541">
      <c r="A541" s="2"/>
      <c r="B541" s="2" t="b">
        <v>0</v>
      </c>
      <c r="W541" s="2"/>
    </row>
    <row r="542">
      <c r="A542" s="2"/>
      <c r="B542" s="2" t="b">
        <v>0</v>
      </c>
      <c r="W542" s="2"/>
    </row>
    <row r="543">
      <c r="A543" s="2"/>
      <c r="B543" s="2" t="b">
        <v>0</v>
      </c>
      <c r="W543" s="2"/>
    </row>
    <row r="544">
      <c r="A544" s="2"/>
      <c r="B544" s="2" t="b">
        <v>0</v>
      </c>
      <c r="W544" s="2"/>
    </row>
    <row r="545">
      <c r="A545" s="2"/>
      <c r="B545" s="2" t="b">
        <v>0</v>
      </c>
      <c r="W545" s="2"/>
    </row>
    <row r="546">
      <c r="A546" s="2"/>
      <c r="B546" s="2" t="b">
        <v>0</v>
      </c>
      <c r="W546" s="2"/>
    </row>
    <row r="547">
      <c r="A547" s="2"/>
      <c r="B547" s="2" t="b">
        <v>0</v>
      </c>
      <c r="W547" s="2"/>
    </row>
    <row r="548">
      <c r="A548" s="2"/>
      <c r="B548" s="2" t="b">
        <v>0</v>
      </c>
      <c r="W548" s="2"/>
    </row>
    <row r="549">
      <c r="A549" s="2"/>
      <c r="B549" s="2" t="b">
        <v>0</v>
      </c>
      <c r="W549" s="2"/>
    </row>
    <row r="550">
      <c r="A550" s="2"/>
      <c r="B550" s="2" t="b">
        <v>0</v>
      </c>
      <c r="W550" s="2"/>
    </row>
    <row r="551">
      <c r="A551" s="2"/>
      <c r="B551" s="2" t="b">
        <v>0</v>
      </c>
      <c r="W551" s="2"/>
    </row>
    <row r="552">
      <c r="A552" s="2"/>
      <c r="B552" s="2" t="b">
        <v>0</v>
      </c>
      <c r="W552" s="2"/>
    </row>
    <row r="553">
      <c r="A553" s="2"/>
      <c r="B553" s="2" t="b">
        <v>0</v>
      </c>
      <c r="W553" s="2"/>
    </row>
    <row r="554">
      <c r="A554" s="2"/>
      <c r="B554" s="2" t="b">
        <v>0</v>
      </c>
      <c r="W554" s="2"/>
    </row>
    <row r="555">
      <c r="A555" s="2"/>
      <c r="B555" s="2" t="b">
        <v>0</v>
      </c>
      <c r="W555" s="2"/>
    </row>
    <row r="556">
      <c r="A556" s="2"/>
      <c r="B556" s="2" t="b">
        <v>0</v>
      </c>
      <c r="W556" s="2"/>
    </row>
    <row r="557">
      <c r="A557" s="2"/>
      <c r="B557" s="2" t="b">
        <v>0</v>
      </c>
      <c r="W557" s="2"/>
    </row>
    <row r="558">
      <c r="A558" s="2"/>
      <c r="B558" s="2" t="b">
        <v>0</v>
      </c>
      <c r="W558" s="2"/>
    </row>
    <row r="559">
      <c r="A559" s="2"/>
      <c r="B559" s="2" t="b">
        <v>0</v>
      </c>
      <c r="W559" s="2"/>
    </row>
    <row r="560">
      <c r="A560" s="2"/>
      <c r="B560" s="2" t="b">
        <v>0</v>
      </c>
      <c r="W560" s="2"/>
    </row>
    <row r="561">
      <c r="A561" s="2"/>
      <c r="B561" s="2" t="b">
        <v>0</v>
      </c>
      <c r="W561" s="2"/>
    </row>
    <row r="562">
      <c r="A562" s="2"/>
      <c r="B562" s="2" t="b">
        <v>0</v>
      </c>
      <c r="W562" s="2"/>
    </row>
    <row r="563">
      <c r="A563" s="2"/>
      <c r="B563" s="2" t="b">
        <v>0</v>
      </c>
      <c r="W563" s="2"/>
    </row>
    <row r="564">
      <c r="A564" s="2"/>
      <c r="B564" s="2" t="b">
        <v>0</v>
      </c>
      <c r="W564" s="2"/>
    </row>
    <row r="565">
      <c r="A565" s="2"/>
      <c r="B565" s="2" t="b">
        <v>0</v>
      </c>
      <c r="W565" s="2"/>
    </row>
    <row r="566">
      <c r="A566" s="2"/>
      <c r="B566" s="2" t="b">
        <v>0</v>
      </c>
      <c r="W566" s="2"/>
    </row>
    <row r="567">
      <c r="A567" s="2"/>
      <c r="B567" s="2" t="b">
        <v>0</v>
      </c>
      <c r="W567" s="2"/>
    </row>
    <row r="568">
      <c r="A568" s="2"/>
      <c r="B568" s="2" t="b">
        <v>0</v>
      </c>
      <c r="W568" s="2"/>
    </row>
    <row r="569">
      <c r="A569" s="2"/>
      <c r="B569" s="2" t="b">
        <v>0</v>
      </c>
      <c r="W569" s="2"/>
    </row>
    <row r="570">
      <c r="A570" s="2"/>
      <c r="B570" s="2" t="b">
        <v>0</v>
      </c>
      <c r="W570" s="2"/>
    </row>
    <row r="571">
      <c r="A571" s="2"/>
      <c r="B571" s="2" t="b">
        <v>0</v>
      </c>
      <c r="W571" s="2"/>
    </row>
    <row r="572">
      <c r="A572" s="2"/>
      <c r="B572" s="2" t="b">
        <v>0</v>
      </c>
      <c r="W572" s="2"/>
    </row>
    <row r="573">
      <c r="A573" s="2"/>
      <c r="B573" s="2" t="b">
        <v>0</v>
      </c>
      <c r="W573" s="2"/>
    </row>
    <row r="574">
      <c r="A574" s="2"/>
      <c r="B574" s="2" t="b">
        <v>0</v>
      </c>
      <c r="W574" s="2"/>
    </row>
    <row r="575">
      <c r="A575" s="2"/>
      <c r="B575" s="2" t="b">
        <v>0</v>
      </c>
      <c r="W575" s="2"/>
    </row>
    <row r="576">
      <c r="A576" s="2"/>
      <c r="B576" s="2" t="b">
        <v>0</v>
      </c>
      <c r="W576" s="2"/>
    </row>
    <row r="577">
      <c r="A577" s="2"/>
      <c r="B577" s="2" t="b">
        <v>0</v>
      </c>
      <c r="W577" s="2"/>
    </row>
    <row r="578">
      <c r="A578" s="2"/>
      <c r="B578" s="2" t="b">
        <v>0</v>
      </c>
      <c r="W578" s="2"/>
    </row>
    <row r="579">
      <c r="A579" s="2"/>
      <c r="B579" s="2" t="b">
        <v>0</v>
      </c>
      <c r="W579" s="2"/>
    </row>
    <row r="580">
      <c r="A580" s="2"/>
      <c r="B580" s="2" t="b">
        <v>0</v>
      </c>
      <c r="W580" s="2"/>
    </row>
    <row r="581">
      <c r="A581" s="2"/>
      <c r="B581" s="2" t="b">
        <v>0</v>
      </c>
      <c r="W581" s="2"/>
    </row>
    <row r="582">
      <c r="A582" s="2"/>
      <c r="B582" s="2" t="b">
        <v>0</v>
      </c>
      <c r="W582" s="2"/>
    </row>
    <row r="583">
      <c r="A583" s="2"/>
      <c r="B583" s="2" t="b">
        <v>0</v>
      </c>
      <c r="W583" s="2"/>
    </row>
    <row r="584">
      <c r="A584" s="2"/>
      <c r="B584" s="2" t="b">
        <v>0</v>
      </c>
      <c r="W584" s="2"/>
    </row>
    <row r="585">
      <c r="A585" s="2"/>
      <c r="B585" s="2" t="b">
        <v>0</v>
      </c>
      <c r="W585" s="2"/>
    </row>
    <row r="586">
      <c r="A586" s="2"/>
      <c r="B586" s="2" t="b">
        <v>0</v>
      </c>
      <c r="W586" s="2"/>
    </row>
    <row r="587">
      <c r="A587" s="2"/>
      <c r="B587" s="2" t="b">
        <v>0</v>
      </c>
      <c r="W587" s="2"/>
    </row>
    <row r="588">
      <c r="A588" s="2"/>
      <c r="B588" s="2" t="b">
        <v>0</v>
      </c>
      <c r="W588" s="2"/>
    </row>
    <row r="589">
      <c r="A589" s="2"/>
      <c r="B589" s="2" t="b">
        <v>0</v>
      </c>
      <c r="W589" s="2"/>
    </row>
    <row r="590">
      <c r="A590" s="2"/>
      <c r="B590" s="2" t="b">
        <v>0</v>
      </c>
      <c r="W590" s="2"/>
    </row>
    <row r="591">
      <c r="A591" s="2"/>
      <c r="B591" s="2" t="b">
        <v>0</v>
      </c>
      <c r="W591" s="2"/>
    </row>
    <row r="592">
      <c r="A592" s="2"/>
      <c r="B592" s="2" t="b">
        <v>0</v>
      </c>
      <c r="W592" s="2"/>
    </row>
    <row r="593">
      <c r="A593" s="2"/>
      <c r="B593" s="2" t="b">
        <v>0</v>
      </c>
      <c r="W593" s="2"/>
    </row>
    <row r="594">
      <c r="A594" s="2"/>
      <c r="B594" s="2" t="b">
        <v>0</v>
      </c>
      <c r="W594" s="2"/>
    </row>
    <row r="595">
      <c r="A595" s="2"/>
      <c r="B595" s="2" t="b">
        <v>0</v>
      </c>
      <c r="W595" s="2"/>
    </row>
    <row r="596">
      <c r="A596" s="2"/>
      <c r="B596" s="2" t="b">
        <v>0</v>
      </c>
      <c r="W596" s="2"/>
    </row>
    <row r="597">
      <c r="A597" s="2"/>
      <c r="B597" s="2" t="b">
        <v>0</v>
      </c>
      <c r="W597" s="2"/>
    </row>
    <row r="598">
      <c r="A598" s="2"/>
      <c r="B598" s="2" t="b">
        <v>0</v>
      </c>
      <c r="W598" s="2"/>
    </row>
    <row r="599">
      <c r="A599" s="2"/>
      <c r="B599" s="2" t="b">
        <v>0</v>
      </c>
      <c r="W599" s="2"/>
    </row>
    <row r="600">
      <c r="A600" s="2"/>
      <c r="B600" s="2" t="b">
        <v>0</v>
      </c>
      <c r="W600" s="2"/>
    </row>
    <row r="601">
      <c r="A601" s="2"/>
      <c r="B601" s="2" t="b">
        <v>0</v>
      </c>
      <c r="W601" s="2"/>
    </row>
    <row r="602">
      <c r="A602" s="2"/>
      <c r="B602" s="2" t="b">
        <v>0</v>
      </c>
      <c r="W602" s="2"/>
    </row>
    <row r="603">
      <c r="A603" s="2"/>
      <c r="B603" s="2" t="b">
        <v>0</v>
      </c>
      <c r="W603" s="2"/>
    </row>
    <row r="604">
      <c r="A604" s="2"/>
      <c r="B604" s="2" t="b">
        <v>0</v>
      </c>
      <c r="W604" s="2"/>
    </row>
    <row r="605">
      <c r="A605" s="2"/>
      <c r="B605" s="2" t="b">
        <v>0</v>
      </c>
      <c r="W605" s="2"/>
    </row>
    <row r="606">
      <c r="A606" s="2"/>
      <c r="B606" s="2" t="b">
        <v>0</v>
      </c>
      <c r="W606" s="2"/>
    </row>
    <row r="607">
      <c r="A607" s="2"/>
      <c r="B607" s="2" t="b">
        <v>0</v>
      </c>
      <c r="W607" s="2"/>
    </row>
    <row r="608">
      <c r="A608" s="2"/>
      <c r="B608" s="2" t="b">
        <v>0</v>
      </c>
      <c r="W608" s="2"/>
    </row>
    <row r="609">
      <c r="A609" s="2"/>
      <c r="B609" s="2" t="b">
        <v>0</v>
      </c>
      <c r="W609" s="2"/>
    </row>
    <row r="610">
      <c r="A610" s="2"/>
      <c r="B610" s="2" t="b">
        <v>0</v>
      </c>
      <c r="W610" s="2"/>
    </row>
    <row r="611">
      <c r="A611" s="2"/>
      <c r="B611" s="2" t="b">
        <v>0</v>
      </c>
      <c r="W611" s="2"/>
    </row>
    <row r="612">
      <c r="A612" s="2"/>
      <c r="B612" s="2" t="b">
        <v>0</v>
      </c>
      <c r="W612" s="2"/>
    </row>
    <row r="613">
      <c r="A613" s="2"/>
      <c r="B613" s="2" t="b">
        <v>0</v>
      </c>
      <c r="W613" s="2"/>
    </row>
    <row r="614">
      <c r="A614" s="2"/>
      <c r="B614" s="2" t="b">
        <v>0</v>
      </c>
      <c r="W614" s="2"/>
    </row>
    <row r="615">
      <c r="A615" s="2"/>
      <c r="B615" s="2" t="b">
        <v>0</v>
      </c>
      <c r="W615" s="2"/>
    </row>
    <row r="616">
      <c r="A616" s="2"/>
      <c r="B616" s="2" t="b">
        <v>0</v>
      </c>
      <c r="W616" s="2"/>
    </row>
    <row r="617">
      <c r="A617" s="2"/>
      <c r="B617" s="2" t="b">
        <v>0</v>
      </c>
      <c r="W617" s="2"/>
    </row>
    <row r="618">
      <c r="A618" s="2"/>
      <c r="B618" s="2" t="b">
        <v>0</v>
      </c>
      <c r="W618" s="2"/>
    </row>
    <row r="619">
      <c r="A619" s="2"/>
      <c r="B619" s="2" t="b">
        <v>0</v>
      </c>
      <c r="W619" s="2"/>
    </row>
    <row r="620">
      <c r="A620" s="2"/>
      <c r="B620" s="2" t="b">
        <v>0</v>
      </c>
      <c r="W620" s="2"/>
    </row>
    <row r="621">
      <c r="A621" s="2"/>
      <c r="B621" s="2" t="b">
        <v>0</v>
      </c>
      <c r="W621" s="2"/>
    </row>
    <row r="622">
      <c r="A622" s="2"/>
      <c r="B622" s="2" t="b">
        <v>0</v>
      </c>
      <c r="W622" s="2"/>
    </row>
    <row r="623">
      <c r="A623" s="2"/>
      <c r="B623" s="2" t="b">
        <v>0</v>
      </c>
      <c r="W623" s="2"/>
    </row>
    <row r="624">
      <c r="A624" s="2"/>
      <c r="B624" s="2" t="b">
        <v>0</v>
      </c>
      <c r="W624" s="2"/>
    </row>
    <row r="625">
      <c r="A625" s="2"/>
      <c r="B625" s="2" t="b">
        <v>0</v>
      </c>
      <c r="W625" s="2"/>
    </row>
    <row r="626">
      <c r="A626" s="2"/>
      <c r="B626" s="2" t="b">
        <v>0</v>
      </c>
      <c r="W626" s="2"/>
    </row>
    <row r="627">
      <c r="A627" s="2"/>
      <c r="B627" s="2" t="b">
        <v>0</v>
      </c>
      <c r="W627" s="2"/>
    </row>
    <row r="628">
      <c r="A628" s="2"/>
      <c r="B628" s="2" t="b">
        <v>0</v>
      </c>
      <c r="W628" s="2"/>
    </row>
    <row r="629">
      <c r="A629" s="2"/>
      <c r="B629" s="2" t="b">
        <v>0</v>
      </c>
      <c r="W629" s="2"/>
    </row>
    <row r="630">
      <c r="A630" s="2"/>
      <c r="B630" s="2" t="b">
        <v>0</v>
      </c>
      <c r="W630" s="2"/>
    </row>
    <row r="631">
      <c r="A631" s="2"/>
      <c r="B631" s="2" t="b">
        <v>0</v>
      </c>
      <c r="W631" s="2"/>
    </row>
    <row r="632">
      <c r="A632" s="2"/>
      <c r="B632" s="2" t="b">
        <v>0</v>
      </c>
      <c r="W632" s="2"/>
    </row>
    <row r="633">
      <c r="A633" s="2"/>
      <c r="B633" s="2" t="b">
        <v>0</v>
      </c>
      <c r="W633" s="2"/>
    </row>
    <row r="634">
      <c r="A634" s="2"/>
      <c r="B634" s="2" t="b">
        <v>0</v>
      </c>
      <c r="W634" s="2"/>
    </row>
    <row r="635">
      <c r="A635" s="2"/>
      <c r="B635" s="2" t="b">
        <v>0</v>
      </c>
      <c r="W635" s="2"/>
    </row>
    <row r="636">
      <c r="A636" s="2"/>
      <c r="B636" s="2" t="b">
        <v>0</v>
      </c>
      <c r="W636" s="2"/>
    </row>
    <row r="637">
      <c r="A637" s="2"/>
      <c r="B637" s="2" t="b">
        <v>0</v>
      </c>
      <c r="W637" s="2"/>
    </row>
    <row r="638">
      <c r="A638" s="2"/>
      <c r="B638" s="2" t="b">
        <v>0</v>
      </c>
      <c r="W638" s="2"/>
    </row>
    <row r="639">
      <c r="A639" s="2"/>
      <c r="B639" s="2" t="b">
        <v>0</v>
      </c>
      <c r="W639" s="2"/>
    </row>
    <row r="640">
      <c r="A640" s="2"/>
      <c r="B640" s="2" t="b">
        <v>0</v>
      </c>
      <c r="W640" s="2"/>
    </row>
    <row r="641">
      <c r="A641" s="2"/>
      <c r="B641" s="2" t="b">
        <v>0</v>
      </c>
      <c r="W641" s="2"/>
    </row>
    <row r="642">
      <c r="A642" s="2"/>
      <c r="B642" s="2" t="b">
        <v>0</v>
      </c>
      <c r="W642" s="2"/>
    </row>
    <row r="643">
      <c r="A643" s="2"/>
      <c r="B643" s="2" t="b">
        <v>0</v>
      </c>
      <c r="W643" s="2"/>
    </row>
    <row r="644">
      <c r="A644" s="2"/>
      <c r="B644" s="2" t="b">
        <v>0</v>
      </c>
      <c r="W644" s="2"/>
    </row>
    <row r="645">
      <c r="A645" s="2"/>
      <c r="B645" s="2" t="b">
        <v>0</v>
      </c>
      <c r="W645" s="2"/>
    </row>
    <row r="646">
      <c r="A646" s="2"/>
      <c r="B646" s="2" t="b">
        <v>0</v>
      </c>
      <c r="W646" s="2"/>
    </row>
    <row r="647">
      <c r="A647" s="2"/>
      <c r="B647" s="2" t="b">
        <v>0</v>
      </c>
      <c r="W647" s="2"/>
    </row>
    <row r="648">
      <c r="A648" s="2"/>
      <c r="B648" s="2" t="b">
        <v>0</v>
      </c>
      <c r="W648" s="2"/>
    </row>
    <row r="649">
      <c r="A649" s="2"/>
      <c r="B649" s="2" t="b">
        <v>0</v>
      </c>
      <c r="W649" s="2"/>
    </row>
    <row r="650">
      <c r="A650" s="2"/>
      <c r="B650" s="2" t="b">
        <v>0</v>
      </c>
      <c r="W650" s="2"/>
    </row>
    <row r="651">
      <c r="A651" s="2"/>
      <c r="B651" s="2" t="b">
        <v>0</v>
      </c>
      <c r="W651" s="2"/>
    </row>
    <row r="652">
      <c r="A652" s="2"/>
      <c r="B652" s="2" t="b">
        <v>0</v>
      </c>
      <c r="W652" s="2"/>
    </row>
    <row r="653">
      <c r="A653" s="2"/>
      <c r="B653" s="2" t="b">
        <v>0</v>
      </c>
      <c r="W653" s="2"/>
    </row>
    <row r="654">
      <c r="A654" s="2"/>
      <c r="B654" s="2" t="b">
        <v>0</v>
      </c>
      <c r="W654" s="2"/>
    </row>
    <row r="655">
      <c r="A655" s="2"/>
      <c r="B655" s="2" t="b">
        <v>0</v>
      </c>
      <c r="W655" s="2"/>
    </row>
    <row r="656">
      <c r="A656" s="2"/>
      <c r="B656" s="2" t="b">
        <v>0</v>
      </c>
      <c r="W656" s="2"/>
    </row>
    <row r="657">
      <c r="A657" s="2"/>
      <c r="B657" s="2" t="b">
        <v>0</v>
      </c>
      <c r="W657" s="2"/>
    </row>
    <row r="658">
      <c r="A658" s="2"/>
      <c r="B658" s="2" t="b">
        <v>0</v>
      </c>
      <c r="W658" s="2"/>
    </row>
    <row r="659">
      <c r="A659" s="2"/>
      <c r="B659" s="2" t="b">
        <v>0</v>
      </c>
      <c r="W659" s="2"/>
    </row>
    <row r="660">
      <c r="A660" s="2"/>
      <c r="B660" s="2" t="b">
        <v>0</v>
      </c>
      <c r="W660" s="2"/>
    </row>
    <row r="661">
      <c r="A661" s="2"/>
      <c r="B661" s="2" t="b">
        <v>0</v>
      </c>
      <c r="W661" s="2"/>
    </row>
    <row r="662">
      <c r="A662" s="2"/>
      <c r="B662" s="2" t="b">
        <v>0</v>
      </c>
      <c r="W662" s="2"/>
    </row>
    <row r="663">
      <c r="A663" s="2"/>
      <c r="B663" s="2" t="b">
        <v>0</v>
      </c>
      <c r="W663" s="2"/>
    </row>
    <row r="664">
      <c r="A664" s="2"/>
      <c r="B664" s="2" t="b">
        <v>0</v>
      </c>
      <c r="W664" s="2"/>
    </row>
    <row r="665">
      <c r="A665" s="2"/>
      <c r="B665" s="2" t="b">
        <v>0</v>
      </c>
      <c r="W665" s="2"/>
    </row>
    <row r="666">
      <c r="A666" s="2"/>
      <c r="B666" s="2" t="b">
        <v>0</v>
      </c>
      <c r="W666" s="2"/>
    </row>
    <row r="667">
      <c r="A667" s="2"/>
      <c r="B667" s="2" t="b">
        <v>0</v>
      </c>
      <c r="W667" s="2"/>
    </row>
    <row r="668">
      <c r="A668" s="2"/>
      <c r="B668" s="2" t="b">
        <v>0</v>
      </c>
      <c r="W668" s="2"/>
    </row>
    <row r="669">
      <c r="A669" s="2"/>
      <c r="B669" s="2" t="b">
        <v>0</v>
      </c>
      <c r="W669" s="2"/>
    </row>
    <row r="670">
      <c r="A670" s="2"/>
      <c r="B670" s="2" t="b">
        <v>0</v>
      </c>
      <c r="W670" s="2"/>
    </row>
    <row r="671">
      <c r="A671" s="2"/>
      <c r="B671" s="2" t="b">
        <v>0</v>
      </c>
      <c r="W671" s="2"/>
    </row>
    <row r="672">
      <c r="A672" s="2"/>
      <c r="B672" s="2" t="b">
        <v>0</v>
      </c>
      <c r="W672" s="2"/>
    </row>
    <row r="673">
      <c r="A673" s="2"/>
      <c r="B673" s="2" t="b">
        <v>0</v>
      </c>
      <c r="W673" s="2"/>
    </row>
    <row r="674">
      <c r="A674" s="2"/>
      <c r="B674" s="2" t="b">
        <v>0</v>
      </c>
      <c r="W674" s="2"/>
    </row>
    <row r="675">
      <c r="A675" s="2"/>
      <c r="B675" s="2" t="b">
        <v>0</v>
      </c>
      <c r="W675" s="2"/>
    </row>
    <row r="676">
      <c r="A676" s="2"/>
      <c r="B676" s="2" t="b">
        <v>0</v>
      </c>
      <c r="W676" s="2"/>
    </row>
    <row r="677">
      <c r="A677" s="2"/>
      <c r="B677" s="2" t="b">
        <v>0</v>
      </c>
      <c r="W677" s="2"/>
    </row>
    <row r="678">
      <c r="A678" s="2"/>
      <c r="B678" s="2" t="b">
        <v>0</v>
      </c>
      <c r="W678" s="2"/>
    </row>
    <row r="679">
      <c r="A679" s="2"/>
      <c r="B679" s="2" t="b">
        <v>0</v>
      </c>
      <c r="W679" s="2"/>
    </row>
    <row r="680">
      <c r="A680" s="2"/>
      <c r="B680" s="2" t="b">
        <v>0</v>
      </c>
      <c r="W680" s="2"/>
    </row>
    <row r="681">
      <c r="A681" s="2"/>
      <c r="B681" s="2" t="b">
        <v>0</v>
      </c>
      <c r="W681" s="2"/>
    </row>
    <row r="682">
      <c r="A682" s="2"/>
      <c r="B682" s="2" t="b">
        <v>0</v>
      </c>
      <c r="W682" s="2"/>
    </row>
    <row r="683">
      <c r="A683" s="2"/>
      <c r="B683" s="2" t="b">
        <v>0</v>
      </c>
      <c r="W683" s="2"/>
    </row>
    <row r="684">
      <c r="A684" s="2"/>
      <c r="B684" s="2" t="b">
        <v>0</v>
      </c>
      <c r="W684" s="2"/>
    </row>
    <row r="685">
      <c r="A685" s="2"/>
      <c r="B685" s="2" t="b">
        <v>0</v>
      </c>
      <c r="W685" s="2"/>
    </row>
    <row r="686">
      <c r="A686" s="2"/>
      <c r="B686" s="2" t="b">
        <v>0</v>
      </c>
      <c r="W686" s="2"/>
    </row>
    <row r="687">
      <c r="A687" s="2"/>
      <c r="B687" s="2" t="b">
        <v>0</v>
      </c>
      <c r="W687" s="2"/>
    </row>
    <row r="688">
      <c r="A688" s="2"/>
      <c r="B688" s="2" t="b">
        <v>0</v>
      </c>
      <c r="W688" s="2"/>
    </row>
    <row r="689">
      <c r="A689" s="2"/>
      <c r="B689" s="2" t="b">
        <v>0</v>
      </c>
      <c r="W689" s="2"/>
    </row>
    <row r="690">
      <c r="A690" s="2"/>
      <c r="B690" s="2" t="b">
        <v>0</v>
      </c>
      <c r="W690" s="2"/>
    </row>
    <row r="691">
      <c r="A691" s="2"/>
      <c r="B691" s="2" t="b">
        <v>0</v>
      </c>
      <c r="W691" s="2"/>
    </row>
    <row r="692">
      <c r="A692" s="2"/>
      <c r="B692" s="2" t="b">
        <v>0</v>
      </c>
      <c r="W692" s="2"/>
    </row>
    <row r="693">
      <c r="A693" s="2"/>
      <c r="B693" s="2" t="b">
        <v>0</v>
      </c>
      <c r="W693" s="2"/>
    </row>
    <row r="694">
      <c r="A694" s="2"/>
      <c r="B694" s="2" t="b">
        <v>0</v>
      </c>
      <c r="W694" s="2"/>
    </row>
    <row r="695">
      <c r="A695" s="2"/>
      <c r="B695" s="2" t="b">
        <v>0</v>
      </c>
      <c r="W695" s="2"/>
    </row>
    <row r="696">
      <c r="A696" s="2"/>
      <c r="B696" s="2" t="b">
        <v>0</v>
      </c>
      <c r="W696" s="2"/>
    </row>
    <row r="697">
      <c r="A697" s="2"/>
      <c r="B697" s="2" t="b">
        <v>0</v>
      </c>
      <c r="W697" s="2"/>
    </row>
    <row r="698">
      <c r="A698" s="2"/>
      <c r="B698" s="2" t="b">
        <v>0</v>
      </c>
      <c r="W698" s="2"/>
    </row>
    <row r="699">
      <c r="A699" s="2"/>
      <c r="B699" s="2" t="b">
        <v>0</v>
      </c>
      <c r="W699" s="2"/>
    </row>
    <row r="700">
      <c r="A700" s="2"/>
      <c r="B700" s="2" t="b">
        <v>0</v>
      </c>
      <c r="W700" s="2"/>
    </row>
    <row r="701">
      <c r="A701" s="2"/>
      <c r="B701" s="2" t="b">
        <v>0</v>
      </c>
      <c r="W701" s="2"/>
    </row>
    <row r="702">
      <c r="A702" s="2"/>
      <c r="B702" s="2" t="b">
        <v>0</v>
      </c>
      <c r="W702" s="2"/>
    </row>
    <row r="703">
      <c r="A703" s="2"/>
      <c r="B703" s="2" t="b">
        <v>0</v>
      </c>
      <c r="W703" s="2"/>
    </row>
    <row r="704">
      <c r="A704" s="2"/>
      <c r="B704" s="2" t="b">
        <v>0</v>
      </c>
      <c r="W704" s="2"/>
    </row>
    <row r="705">
      <c r="A705" s="2"/>
      <c r="B705" s="2" t="b">
        <v>0</v>
      </c>
      <c r="W705" s="2"/>
    </row>
    <row r="706">
      <c r="A706" s="2"/>
      <c r="B706" s="2" t="b">
        <v>0</v>
      </c>
      <c r="W706" s="2"/>
    </row>
    <row r="707">
      <c r="A707" s="2"/>
      <c r="B707" s="2" t="b">
        <v>0</v>
      </c>
      <c r="W707" s="2"/>
    </row>
    <row r="708">
      <c r="A708" s="2"/>
      <c r="B708" s="2" t="b">
        <v>0</v>
      </c>
      <c r="W708" s="2"/>
    </row>
    <row r="709">
      <c r="A709" s="2"/>
      <c r="B709" s="2" t="b">
        <v>0</v>
      </c>
      <c r="W709" s="2"/>
    </row>
    <row r="710">
      <c r="A710" s="2"/>
      <c r="B710" s="2" t="b">
        <v>0</v>
      </c>
      <c r="W710" s="2"/>
    </row>
    <row r="711">
      <c r="A711" s="2"/>
      <c r="B711" s="2" t="b">
        <v>0</v>
      </c>
      <c r="W711" s="2"/>
    </row>
    <row r="712">
      <c r="A712" s="2"/>
      <c r="B712" s="2" t="b">
        <v>0</v>
      </c>
      <c r="W712" s="2"/>
    </row>
    <row r="713">
      <c r="A713" s="2"/>
      <c r="B713" s="2" t="b">
        <v>0</v>
      </c>
      <c r="W713" s="2"/>
    </row>
    <row r="714">
      <c r="A714" s="2"/>
      <c r="B714" s="2" t="b">
        <v>0</v>
      </c>
      <c r="W714" s="2"/>
    </row>
    <row r="715">
      <c r="A715" s="2"/>
      <c r="B715" s="2" t="b">
        <v>0</v>
      </c>
      <c r="W715" s="2"/>
    </row>
    <row r="716">
      <c r="A716" s="2"/>
      <c r="B716" s="2" t="b">
        <v>0</v>
      </c>
      <c r="W716" s="2"/>
    </row>
    <row r="717">
      <c r="A717" s="2"/>
      <c r="B717" s="2" t="b">
        <v>0</v>
      </c>
      <c r="W717" s="2"/>
    </row>
    <row r="718">
      <c r="A718" s="2"/>
      <c r="B718" s="2" t="b">
        <v>0</v>
      </c>
      <c r="W718" s="2"/>
    </row>
    <row r="719">
      <c r="A719" s="2"/>
      <c r="B719" s="2" t="b">
        <v>0</v>
      </c>
      <c r="W719" s="2"/>
    </row>
    <row r="720">
      <c r="A720" s="2"/>
      <c r="B720" s="2" t="b">
        <v>0</v>
      </c>
      <c r="W720" s="2"/>
    </row>
    <row r="721">
      <c r="A721" s="2"/>
      <c r="B721" s="2" t="b">
        <v>0</v>
      </c>
      <c r="W721" s="2"/>
    </row>
    <row r="722">
      <c r="A722" s="2"/>
      <c r="B722" s="2" t="b">
        <v>0</v>
      </c>
      <c r="W722" s="2"/>
    </row>
    <row r="723">
      <c r="A723" s="2"/>
      <c r="B723" s="2" t="b">
        <v>0</v>
      </c>
      <c r="W723" s="2"/>
    </row>
    <row r="724">
      <c r="A724" s="2"/>
      <c r="B724" s="2" t="b">
        <v>0</v>
      </c>
      <c r="W724" s="2"/>
    </row>
    <row r="725">
      <c r="A725" s="2"/>
      <c r="B725" s="2" t="b">
        <v>0</v>
      </c>
      <c r="W725" s="2"/>
    </row>
    <row r="726">
      <c r="A726" s="2"/>
      <c r="B726" s="2" t="b">
        <v>0</v>
      </c>
      <c r="W726" s="2"/>
    </row>
    <row r="727">
      <c r="A727" s="2"/>
      <c r="B727" s="2" t="b">
        <v>0</v>
      </c>
      <c r="W727" s="2"/>
    </row>
    <row r="728">
      <c r="A728" s="2"/>
      <c r="B728" s="2" t="b">
        <v>0</v>
      </c>
      <c r="W728" s="2"/>
    </row>
    <row r="729">
      <c r="A729" s="2"/>
      <c r="B729" s="2" t="b">
        <v>0</v>
      </c>
      <c r="W729" s="2"/>
    </row>
    <row r="730">
      <c r="A730" s="2"/>
      <c r="B730" s="2" t="b">
        <v>0</v>
      </c>
      <c r="W730" s="2"/>
    </row>
    <row r="731">
      <c r="A731" s="2"/>
      <c r="B731" s="2" t="b">
        <v>0</v>
      </c>
      <c r="W731" s="2"/>
    </row>
    <row r="732">
      <c r="A732" s="2"/>
      <c r="B732" s="2" t="b">
        <v>0</v>
      </c>
      <c r="W732" s="2"/>
    </row>
    <row r="733">
      <c r="A733" s="2"/>
      <c r="B733" s="2" t="b">
        <v>0</v>
      </c>
      <c r="W733" s="2"/>
    </row>
    <row r="734">
      <c r="A734" s="2"/>
      <c r="B734" s="2" t="b">
        <v>0</v>
      </c>
      <c r="W734" s="2"/>
    </row>
    <row r="735">
      <c r="A735" s="2"/>
      <c r="B735" s="2" t="b">
        <v>0</v>
      </c>
      <c r="W735" s="2"/>
    </row>
    <row r="736">
      <c r="A736" s="2"/>
      <c r="B736" s="2" t="b">
        <v>0</v>
      </c>
      <c r="W736" s="2"/>
    </row>
    <row r="737">
      <c r="A737" s="2"/>
      <c r="B737" s="2" t="b">
        <v>0</v>
      </c>
      <c r="W737" s="2"/>
    </row>
    <row r="738">
      <c r="A738" s="2"/>
      <c r="B738" s="2" t="b">
        <v>0</v>
      </c>
      <c r="W738" s="2"/>
    </row>
    <row r="739">
      <c r="A739" s="2"/>
      <c r="B739" s="2" t="b">
        <v>0</v>
      </c>
      <c r="W739" s="2"/>
    </row>
    <row r="740">
      <c r="A740" s="2"/>
      <c r="B740" s="2" t="b">
        <v>0</v>
      </c>
      <c r="W740" s="2"/>
    </row>
    <row r="741">
      <c r="A741" s="2"/>
      <c r="B741" s="2" t="b">
        <v>0</v>
      </c>
      <c r="W741" s="2"/>
    </row>
    <row r="742">
      <c r="A742" s="2"/>
      <c r="B742" s="2" t="b">
        <v>0</v>
      </c>
      <c r="W742" s="2"/>
    </row>
    <row r="743">
      <c r="A743" s="2"/>
      <c r="B743" s="2" t="b">
        <v>0</v>
      </c>
      <c r="W743" s="2"/>
    </row>
    <row r="744">
      <c r="A744" s="2"/>
      <c r="B744" s="2" t="b">
        <v>0</v>
      </c>
      <c r="W744" s="2"/>
    </row>
    <row r="745">
      <c r="A745" s="2"/>
      <c r="B745" s="2" t="b">
        <v>0</v>
      </c>
      <c r="W745" s="2"/>
    </row>
    <row r="746">
      <c r="A746" s="2"/>
      <c r="B746" s="2" t="b">
        <v>0</v>
      </c>
      <c r="W746" s="2"/>
    </row>
    <row r="747">
      <c r="A747" s="2"/>
      <c r="B747" s="2" t="b">
        <v>0</v>
      </c>
      <c r="W747" s="2"/>
    </row>
    <row r="748">
      <c r="A748" s="2"/>
      <c r="B748" s="2" t="b">
        <v>0</v>
      </c>
      <c r="W748" s="2"/>
    </row>
    <row r="749">
      <c r="A749" s="2"/>
      <c r="B749" s="2" t="b">
        <v>0</v>
      </c>
      <c r="W749" s="2"/>
    </row>
    <row r="750">
      <c r="A750" s="2"/>
      <c r="B750" s="2" t="b">
        <v>0</v>
      </c>
      <c r="W750" s="2"/>
    </row>
    <row r="751">
      <c r="A751" s="2"/>
      <c r="B751" s="2" t="b">
        <v>0</v>
      </c>
      <c r="W751" s="2"/>
    </row>
    <row r="752">
      <c r="A752" s="2"/>
      <c r="B752" s="2" t="b">
        <v>0</v>
      </c>
      <c r="W752" s="2"/>
    </row>
    <row r="753">
      <c r="A753" s="2"/>
      <c r="B753" s="2" t="b">
        <v>0</v>
      </c>
      <c r="W753" s="2"/>
    </row>
    <row r="754">
      <c r="A754" s="2"/>
      <c r="B754" s="2" t="b">
        <v>0</v>
      </c>
      <c r="W754" s="2"/>
    </row>
    <row r="755">
      <c r="A755" s="2"/>
      <c r="B755" s="2" t="b">
        <v>0</v>
      </c>
      <c r="W755" s="2"/>
    </row>
    <row r="756">
      <c r="A756" s="2"/>
      <c r="B756" s="2" t="b">
        <v>0</v>
      </c>
      <c r="W756" s="2"/>
    </row>
    <row r="757">
      <c r="A757" s="2"/>
      <c r="B757" s="2" t="b">
        <v>0</v>
      </c>
      <c r="W757" s="2"/>
    </row>
    <row r="758">
      <c r="A758" s="2"/>
      <c r="B758" s="2" t="b">
        <v>0</v>
      </c>
      <c r="W758" s="2"/>
    </row>
    <row r="759">
      <c r="A759" s="2"/>
      <c r="B759" s="2" t="b">
        <v>0</v>
      </c>
      <c r="W759" s="2"/>
    </row>
    <row r="760">
      <c r="A760" s="2"/>
      <c r="B760" s="2" t="b">
        <v>0</v>
      </c>
      <c r="W760" s="2"/>
    </row>
    <row r="761">
      <c r="A761" s="2"/>
      <c r="B761" s="2" t="b">
        <v>0</v>
      </c>
      <c r="W761" s="2"/>
    </row>
    <row r="762">
      <c r="A762" s="2"/>
      <c r="B762" s="2" t="b">
        <v>0</v>
      </c>
      <c r="W762" s="2"/>
    </row>
    <row r="763">
      <c r="A763" s="2"/>
      <c r="B763" s="2" t="b">
        <v>0</v>
      </c>
      <c r="W763" s="2"/>
    </row>
    <row r="764">
      <c r="A764" s="2"/>
      <c r="B764" s="2" t="b">
        <v>0</v>
      </c>
      <c r="W764" s="2"/>
    </row>
    <row r="765">
      <c r="A765" s="2"/>
      <c r="B765" s="2" t="b">
        <v>0</v>
      </c>
      <c r="W765" s="2"/>
    </row>
    <row r="766">
      <c r="A766" s="2"/>
      <c r="B766" s="2" t="b">
        <v>0</v>
      </c>
      <c r="W766" s="2"/>
    </row>
    <row r="767">
      <c r="A767" s="2"/>
      <c r="B767" s="2" t="b">
        <v>0</v>
      </c>
      <c r="W767" s="2"/>
    </row>
    <row r="768">
      <c r="A768" s="2"/>
      <c r="B768" s="2" t="b">
        <v>0</v>
      </c>
      <c r="W768" s="2"/>
    </row>
    <row r="769">
      <c r="A769" s="2"/>
      <c r="B769" s="2" t="b">
        <v>0</v>
      </c>
      <c r="W769" s="2"/>
    </row>
    <row r="770">
      <c r="A770" s="2"/>
      <c r="B770" s="2" t="b">
        <v>0</v>
      </c>
      <c r="W770" s="2"/>
    </row>
    <row r="771">
      <c r="A771" s="2"/>
      <c r="B771" s="2" t="b">
        <v>0</v>
      </c>
      <c r="W771" s="2"/>
    </row>
    <row r="772">
      <c r="A772" s="2"/>
      <c r="B772" s="2" t="b">
        <v>0</v>
      </c>
      <c r="W772" s="2"/>
    </row>
    <row r="773">
      <c r="A773" s="2"/>
      <c r="B773" s="2" t="b">
        <v>0</v>
      </c>
      <c r="W773" s="2"/>
    </row>
    <row r="774">
      <c r="A774" s="2"/>
      <c r="B774" s="2" t="b">
        <v>0</v>
      </c>
      <c r="W774" s="2"/>
    </row>
    <row r="775">
      <c r="A775" s="2"/>
      <c r="B775" s="2" t="b">
        <v>0</v>
      </c>
      <c r="W775" s="2"/>
    </row>
    <row r="776">
      <c r="A776" s="2"/>
      <c r="B776" s="2" t="b">
        <v>0</v>
      </c>
      <c r="W776" s="2"/>
    </row>
    <row r="777">
      <c r="A777" s="2"/>
      <c r="B777" s="2" t="b">
        <v>0</v>
      </c>
      <c r="W777" s="2"/>
    </row>
    <row r="778">
      <c r="A778" s="2"/>
      <c r="B778" s="2" t="b">
        <v>0</v>
      </c>
      <c r="W778" s="2"/>
    </row>
    <row r="779">
      <c r="A779" s="2"/>
      <c r="B779" s="2" t="b">
        <v>0</v>
      </c>
      <c r="W779" s="2"/>
    </row>
    <row r="780">
      <c r="A780" s="2"/>
      <c r="B780" s="2" t="b">
        <v>0</v>
      </c>
      <c r="W780" s="2"/>
    </row>
    <row r="781">
      <c r="A781" s="2"/>
      <c r="B781" s="2" t="b">
        <v>0</v>
      </c>
      <c r="W781" s="2"/>
    </row>
    <row r="782">
      <c r="A782" s="2"/>
      <c r="B782" s="2" t="b">
        <v>0</v>
      </c>
      <c r="W782" s="2"/>
    </row>
    <row r="783">
      <c r="A783" s="2"/>
      <c r="B783" s="2" t="b">
        <v>0</v>
      </c>
      <c r="W783" s="2"/>
    </row>
    <row r="784">
      <c r="A784" s="2"/>
      <c r="B784" s="2" t="b">
        <v>0</v>
      </c>
      <c r="W784" s="2"/>
    </row>
    <row r="785">
      <c r="A785" s="2"/>
      <c r="B785" s="2" t="b">
        <v>0</v>
      </c>
      <c r="W785" s="2"/>
    </row>
    <row r="786">
      <c r="A786" s="2"/>
      <c r="B786" s="2" t="b">
        <v>0</v>
      </c>
      <c r="W786" s="2"/>
    </row>
    <row r="787">
      <c r="A787" s="2"/>
      <c r="B787" s="2" t="b">
        <v>0</v>
      </c>
      <c r="W787" s="2"/>
    </row>
    <row r="788">
      <c r="A788" s="2"/>
      <c r="B788" s="2" t="b">
        <v>0</v>
      </c>
      <c r="W788" s="2"/>
    </row>
    <row r="789">
      <c r="A789" s="2"/>
      <c r="B789" s="2" t="b">
        <v>0</v>
      </c>
      <c r="W789" s="2"/>
    </row>
    <row r="790">
      <c r="A790" s="2"/>
      <c r="B790" s="2" t="b">
        <v>0</v>
      </c>
      <c r="W790" s="2"/>
    </row>
    <row r="791">
      <c r="A791" s="2"/>
      <c r="B791" s="2" t="b">
        <v>0</v>
      </c>
      <c r="W791" s="2"/>
    </row>
    <row r="792">
      <c r="A792" s="2"/>
      <c r="B792" s="2" t="b">
        <v>0</v>
      </c>
      <c r="W792" s="2"/>
    </row>
    <row r="793">
      <c r="A793" s="2"/>
      <c r="B793" s="2" t="b">
        <v>0</v>
      </c>
      <c r="W793" s="2"/>
    </row>
    <row r="794">
      <c r="A794" s="2"/>
      <c r="B794" s="2" t="b">
        <v>0</v>
      </c>
      <c r="W794" s="2"/>
    </row>
    <row r="795">
      <c r="A795" s="2"/>
      <c r="B795" s="2" t="b">
        <v>0</v>
      </c>
      <c r="W795" s="2"/>
    </row>
    <row r="796">
      <c r="A796" s="2"/>
      <c r="B796" s="2" t="b">
        <v>0</v>
      </c>
      <c r="W796" s="2"/>
    </row>
    <row r="797">
      <c r="A797" s="2"/>
      <c r="B797" s="2" t="b">
        <v>0</v>
      </c>
      <c r="W797" s="2"/>
    </row>
    <row r="798">
      <c r="A798" s="2"/>
      <c r="B798" s="2" t="b">
        <v>0</v>
      </c>
      <c r="W798" s="2"/>
    </row>
    <row r="799">
      <c r="A799" s="2"/>
      <c r="B799" s="2" t="b">
        <v>0</v>
      </c>
      <c r="W799" s="2"/>
    </row>
    <row r="800">
      <c r="A800" s="2"/>
      <c r="B800" s="2" t="b">
        <v>0</v>
      </c>
      <c r="W800" s="2"/>
    </row>
    <row r="801">
      <c r="A801" s="2"/>
      <c r="B801" s="2" t="b">
        <v>0</v>
      </c>
      <c r="W801" s="2"/>
    </row>
    <row r="802">
      <c r="A802" s="2"/>
      <c r="B802" s="2" t="b">
        <v>0</v>
      </c>
      <c r="W802" s="2"/>
    </row>
    <row r="803">
      <c r="A803" s="2"/>
      <c r="B803" s="2" t="b">
        <v>0</v>
      </c>
      <c r="W803" s="2"/>
    </row>
    <row r="804">
      <c r="A804" s="2"/>
      <c r="B804" s="2" t="b">
        <v>0</v>
      </c>
      <c r="W804" s="2"/>
    </row>
    <row r="805">
      <c r="A805" s="2"/>
      <c r="B805" s="2" t="b">
        <v>0</v>
      </c>
      <c r="W805" s="2"/>
    </row>
    <row r="806">
      <c r="A806" s="2"/>
      <c r="B806" s="2" t="b">
        <v>0</v>
      </c>
      <c r="W806" s="2"/>
    </row>
    <row r="807">
      <c r="A807" s="2"/>
      <c r="B807" s="2" t="b">
        <v>0</v>
      </c>
      <c r="W807" s="2"/>
    </row>
    <row r="808">
      <c r="A808" s="2"/>
      <c r="B808" s="2" t="b">
        <v>0</v>
      </c>
      <c r="W808" s="2"/>
    </row>
    <row r="809">
      <c r="A809" s="2"/>
      <c r="B809" s="2" t="b">
        <v>0</v>
      </c>
      <c r="W809" s="2"/>
    </row>
    <row r="810">
      <c r="A810" s="2"/>
      <c r="B810" s="2" t="b">
        <v>0</v>
      </c>
      <c r="W810" s="2"/>
    </row>
    <row r="811">
      <c r="A811" s="2"/>
      <c r="B811" s="2" t="b">
        <v>0</v>
      </c>
      <c r="W811" s="2"/>
    </row>
    <row r="812">
      <c r="A812" s="2"/>
      <c r="B812" s="2" t="b">
        <v>0</v>
      </c>
      <c r="W812" s="2"/>
    </row>
    <row r="813">
      <c r="A813" s="2"/>
      <c r="B813" s="2" t="b">
        <v>0</v>
      </c>
      <c r="W813" s="2"/>
    </row>
    <row r="814">
      <c r="A814" s="2"/>
      <c r="B814" s="2" t="b">
        <v>0</v>
      </c>
      <c r="W814" s="2"/>
    </row>
    <row r="815">
      <c r="A815" s="2"/>
      <c r="B815" s="2" t="b">
        <v>0</v>
      </c>
      <c r="W815" s="2"/>
    </row>
    <row r="816">
      <c r="A816" s="2"/>
      <c r="B816" s="2" t="b">
        <v>0</v>
      </c>
      <c r="W816" s="2"/>
    </row>
    <row r="817">
      <c r="A817" s="2"/>
      <c r="B817" s="2" t="b">
        <v>0</v>
      </c>
      <c r="W817" s="2"/>
    </row>
    <row r="818">
      <c r="A818" s="2"/>
      <c r="B818" s="2" t="b">
        <v>0</v>
      </c>
      <c r="W818" s="2"/>
    </row>
    <row r="819">
      <c r="A819" s="2"/>
      <c r="B819" s="2" t="b">
        <v>0</v>
      </c>
      <c r="W819" s="2"/>
    </row>
    <row r="820">
      <c r="A820" s="2"/>
      <c r="B820" s="2" t="b">
        <v>0</v>
      </c>
      <c r="W820" s="2"/>
    </row>
    <row r="821">
      <c r="A821" s="2"/>
      <c r="B821" s="2" t="b">
        <v>0</v>
      </c>
      <c r="W821" s="2"/>
    </row>
    <row r="822">
      <c r="A822" s="2"/>
      <c r="B822" s="2" t="b">
        <v>0</v>
      </c>
      <c r="W822" s="2"/>
    </row>
    <row r="823">
      <c r="A823" s="2"/>
      <c r="B823" s="2" t="b">
        <v>0</v>
      </c>
      <c r="W823" s="2"/>
    </row>
    <row r="824">
      <c r="A824" s="2"/>
      <c r="B824" s="2" t="b">
        <v>0</v>
      </c>
      <c r="W824" s="2"/>
    </row>
    <row r="825">
      <c r="A825" s="2"/>
      <c r="B825" s="2" t="b">
        <v>0</v>
      </c>
      <c r="W825" s="2"/>
    </row>
    <row r="826">
      <c r="A826" s="2"/>
      <c r="B826" s="2" t="b">
        <v>0</v>
      </c>
      <c r="W826" s="2"/>
    </row>
    <row r="827">
      <c r="A827" s="2"/>
      <c r="B827" s="2" t="b">
        <v>0</v>
      </c>
      <c r="W827" s="2"/>
    </row>
    <row r="828">
      <c r="A828" s="2"/>
      <c r="B828" s="2" t="b">
        <v>0</v>
      </c>
      <c r="W828" s="2"/>
    </row>
    <row r="829">
      <c r="A829" s="2"/>
      <c r="B829" s="2" t="b">
        <v>0</v>
      </c>
      <c r="W829" s="2"/>
    </row>
    <row r="830">
      <c r="A830" s="2"/>
      <c r="B830" s="2" t="b">
        <v>0</v>
      </c>
      <c r="W830" s="2"/>
    </row>
    <row r="831">
      <c r="A831" s="2"/>
      <c r="B831" s="2" t="b">
        <v>0</v>
      </c>
      <c r="W831" s="2"/>
    </row>
    <row r="832">
      <c r="A832" s="2"/>
      <c r="B832" s="2" t="b">
        <v>0</v>
      </c>
      <c r="W832" s="2"/>
    </row>
    <row r="833">
      <c r="A833" s="2"/>
      <c r="B833" s="2" t="b">
        <v>0</v>
      </c>
      <c r="W833" s="2"/>
    </row>
    <row r="834">
      <c r="A834" s="2"/>
      <c r="B834" s="2" t="b">
        <v>0</v>
      </c>
      <c r="W834" s="2"/>
    </row>
    <row r="835">
      <c r="A835" s="2"/>
      <c r="B835" s="2" t="b">
        <v>0</v>
      </c>
      <c r="W835" s="2"/>
    </row>
    <row r="836">
      <c r="A836" s="2"/>
      <c r="B836" s="2" t="b">
        <v>0</v>
      </c>
      <c r="W836" s="2"/>
    </row>
    <row r="837">
      <c r="A837" s="2"/>
      <c r="B837" s="2" t="b">
        <v>0</v>
      </c>
      <c r="W837" s="2"/>
    </row>
    <row r="838">
      <c r="A838" s="2"/>
      <c r="B838" s="2" t="b">
        <v>0</v>
      </c>
      <c r="W838" s="2"/>
    </row>
    <row r="839">
      <c r="A839" s="2"/>
      <c r="B839" s="2" t="b">
        <v>0</v>
      </c>
      <c r="W839" s="2"/>
    </row>
    <row r="840">
      <c r="A840" s="2"/>
      <c r="B840" s="2" t="b">
        <v>0</v>
      </c>
      <c r="W840" s="2"/>
    </row>
    <row r="841">
      <c r="A841" s="2"/>
      <c r="B841" s="2" t="b">
        <v>0</v>
      </c>
      <c r="W841" s="2"/>
    </row>
    <row r="842">
      <c r="A842" s="2"/>
      <c r="B842" s="2" t="b">
        <v>0</v>
      </c>
      <c r="W842" s="2"/>
    </row>
    <row r="843">
      <c r="A843" s="2"/>
      <c r="B843" s="2" t="b">
        <v>0</v>
      </c>
      <c r="W843" s="2"/>
    </row>
    <row r="844">
      <c r="A844" s="2"/>
      <c r="B844" s="2" t="b">
        <v>0</v>
      </c>
      <c r="W844" s="2"/>
    </row>
    <row r="845">
      <c r="A845" s="2"/>
      <c r="B845" s="2" t="b">
        <v>0</v>
      </c>
      <c r="W845" s="2"/>
    </row>
    <row r="846">
      <c r="A846" s="2"/>
      <c r="B846" s="2" t="b">
        <v>0</v>
      </c>
      <c r="W846" s="2"/>
    </row>
    <row r="847">
      <c r="A847" s="2"/>
      <c r="B847" s="2" t="b">
        <v>0</v>
      </c>
      <c r="W847" s="2"/>
    </row>
    <row r="848">
      <c r="A848" s="2"/>
      <c r="B848" s="2" t="b">
        <v>0</v>
      </c>
      <c r="W848" s="2"/>
    </row>
    <row r="849">
      <c r="A849" s="2"/>
      <c r="B849" s="2" t="b">
        <v>0</v>
      </c>
      <c r="W849" s="2"/>
    </row>
    <row r="850">
      <c r="A850" s="2"/>
      <c r="B850" s="2" t="b">
        <v>0</v>
      </c>
      <c r="W850" s="2"/>
    </row>
    <row r="851">
      <c r="A851" s="2"/>
      <c r="B851" s="2" t="b">
        <v>0</v>
      </c>
      <c r="W851" s="2"/>
    </row>
    <row r="852">
      <c r="A852" s="2"/>
      <c r="B852" s="2" t="b">
        <v>0</v>
      </c>
      <c r="W852" s="2"/>
    </row>
    <row r="853">
      <c r="A853" s="2"/>
      <c r="B853" s="2" t="b">
        <v>0</v>
      </c>
      <c r="W853" s="2"/>
    </row>
    <row r="854">
      <c r="A854" s="2"/>
      <c r="B854" s="2" t="b">
        <v>0</v>
      </c>
      <c r="W854" s="2"/>
    </row>
    <row r="855">
      <c r="A855" s="2"/>
      <c r="B855" s="2" t="b">
        <v>0</v>
      </c>
      <c r="W855" s="2"/>
    </row>
    <row r="856">
      <c r="A856" s="2"/>
      <c r="B856" s="2" t="b">
        <v>0</v>
      </c>
      <c r="W856" s="2"/>
    </row>
    <row r="857">
      <c r="A857" s="2"/>
      <c r="B857" s="2" t="b">
        <v>0</v>
      </c>
      <c r="W857" s="2"/>
    </row>
    <row r="858">
      <c r="A858" s="2"/>
      <c r="B858" s="2" t="b">
        <v>0</v>
      </c>
      <c r="W858" s="2"/>
    </row>
    <row r="859">
      <c r="A859" s="2"/>
      <c r="B859" s="2" t="b">
        <v>0</v>
      </c>
      <c r="W859" s="2"/>
    </row>
    <row r="860">
      <c r="A860" s="2"/>
      <c r="B860" s="2" t="b">
        <v>0</v>
      </c>
      <c r="W860" s="2"/>
    </row>
    <row r="861">
      <c r="A861" s="2"/>
      <c r="B861" s="2" t="b">
        <v>0</v>
      </c>
      <c r="W861" s="2"/>
    </row>
    <row r="862">
      <c r="A862" s="2"/>
      <c r="B862" s="2" t="b">
        <v>0</v>
      </c>
      <c r="W862" s="2"/>
    </row>
    <row r="863">
      <c r="A863" s="2"/>
      <c r="B863" s="2" t="b">
        <v>0</v>
      </c>
      <c r="W863" s="2"/>
    </row>
    <row r="864">
      <c r="A864" s="2"/>
      <c r="B864" s="2" t="b">
        <v>0</v>
      </c>
      <c r="W864" s="2"/>
    </row>
    <row r="865">
      <c r="A865" s="2"/>
      <c r="B865" s="2" t="b">
        <v>0</v>
      </c>
      <c r="W865" s="2"/>
    </row>
    <row r="866">
      <c r="A866" s="2"/>
      <c r="B866" s="2" t="b">
        <v>0</v>
      </c>
      <c r="W866" s="2"/>
    </row>
    <row r="867">
      <c r="A867" s="2"/>
      <c r="B867" s="2" t="b">
        <v>0</v>
      </c>
      <c r="W867" s="2"/>
    </row>
    <row r="868">
      <c r="A868" s="2"/>
      <c r="B868" s="2" t="b">
        <v>0</v>
      </c>
      <c r="W868" s="2"/>
    </row>
    <row r="869">
      <c r="A869" s="2"/>
      <c r="B869" s="2" t="b">
        <v>0</v>
      </c>
      <c r="W869" s="2"/>
    </row>
    <row r="870">
      <c r="A870" s="2"/>
      <c r="B870" s="2" t="b">
        <v>0</v>
      </c>
      <c r="W870" s="2"/>
    </row>
    <row r="871">
      <c r="A871" s="2"/>
      <c r="B871" s="2" t="b">
        <v>0</v>
      </c>
      <c r="W871" s="2"/>
    </row>
    <row r="872">
      <c r="A872" s="2"/>
      <c r="B872" s="2" t="b">
        <v>0</v>
      </c>
      <c r="W872" s="2"/>
    </row>
    <row r="873">
      <c r="A873" s="2"/>
      <c r="B873" s="2" t="b">
        <v>0</v>
      </c>
      <c r="W873" s="2"/>
    </row>
    <row r="874">
      <c r="A874" s="2"/>
      <c r="B874" s="2" t="b">
        <v>0</v>
      </c>
      <c r="W874" s="2"/>
    </row>
    <row r="875">
      <c r="A875" s="2"/>
      <c r="B875" s="2" t="b">
        <v>0</v>
      </c>
      <c r="W875" s="2"/>
    </row>
    <row r="876">
      <c r="A876" s="2"/>
      <c r="B876" s="2" t="b">
        <v>0</v>
      </c>
      <c r="W876" s="2"/>
    </row>
    <row r="877">
      <c r="A877" s="2"/>
      <c r="B877" s="2" t="b">
        <v>0</v>
      </c>
      <c r="W877" s="2"/>
    </row>
    <row r="878">
      <c r="A878" s="2"/>
      <c r="B878" s="2" t="b">
        <v>0</v>
      </c>
      <c r="W878" s="2"/>
    </row>
    <row r="879">
      <c r="A879" s="2"/>
      <c r="B879" s="2" t="b">
        <v>0</v>
      </c>
      <c r="W879" s="2"/>
    </row>
    <row r="880">
      <c r="A880" s="2"/>
      <c r="B880" s="2" t="b">
        <v>0</v>
      </c>
      <c r="W880" s="2"/>
    </row>
    <row r="881">
      <c r="A881" s="2"/>
      <c r="B881" s="2" t="b">
        <v>0</v>
      </c>
      <c r="W881" s="2"/>
    </row>
    <row r="882">
      <c r="A882" s="2"/>
      <c r="B882" s="2" t="b">
        <v>0</v>
      </c>
      <c r="W882" s="2"/>
    </row>
    <row r="883">
      <c r="A883" s="2"/>
      <c r="B883" s="2" t="b">
        <v>0</v>
      </c>
      <c r="W883" s="2"/>
    </row>
    <row r="884">
      <c r="A884" s="2"/>
      <c r="B884" s="2" t="b">
        <v>0</v>
      </c>
      <c r="W884" s="2"/>
    </row>
    <row r="885">
      <c r="A885" s="2"/>
      <c r="B885" s="2" t="b">
        <v>0</v>
      </c>
      <c r="W885" s="2"/>
    </row>
    <row r="886">
      <c r="A886" s="2"/>
      <c r="B886" s="2" t="b">
        <v>0</v>
      </c>
      <c r="W886" s="2"/>
    </row>
    <row r="887">
      <c r="A887" s="2"/>
      <c r="B887" s="2" t="b">
        <v>0</v>
      </c>
      <c r="W887" s="2"/>
    </row>
    <row r="888">
      <c r="A888" s="2"/>
      <c r="B888" s="2" t="b">
        <v>0</v>
      </c>
      <c r="W888" s="2"/>
    </row>
    <row r="889">
      <c r="A889" s="2"/>
      <c r="B889" s="2" t="b">
        <v>0</v>
      </c>
      <c r="W889" s="2"/>
    </row>
    <row r="890">
      <c r="A890" s="2"/>
      <c r="B890" s="2" t="b">
        <v>0</v>
      </c>
      <c r="W890" s="2"/>
    </row>
    <row r="891">
      <c r="A891" s="2"/>
      <c r="B891" s="2" t="b">
        <v>0</v>
      </c>
      <c r="W891" s="2"/>
    </row>
    <row r="892">
      <c r="A892" s="2"/>
      <c r="B892" s="2" t="b">
        <v>0</v>
      </c>
      <c r="W892" s="2"/>
    </row>
    <row r="893">
      <c r="A893" s="2"/>
      <c r="B893" s="2" t="b">
        <v>0</v>
      </c>
      <c r="W893" s="2"/>
    </row>
    <row r="894">
      <c r="A894" s="2"/>
      <c r="B894" s="2" t="b">
        <v>0</v>
      </c>
      <c r="W894" s="2"/>
    </row>
    <row r="895">
      <c r="A895" s="2"/>
      <c r="B895" s="2" t="b">
        <v>0</v>
      </c>
      <c r="W895" s="2"/>
    </row>
    <row r="896">
      <c r="A896" s="2"/>
      <c r="B896" s="2" t="b">
        <v>0</v>
      </c>
      <c r="W896" s="2"/>
    </row>
    <row r="897">
      <c r="A897" s="2"/>
      <c r="B897" s="2" t="b">
        <v>0</v>
      </c>
      <c r="W897" s="2"/>
    </row>
    <row r="898">
      <c r="A898" s="2"/>
      <c r="B898" s="2" t="b">
        <v>0</v>
      </c>
      <c r="W898" s="2"/>
    </row>
    <row r="899">
      <c r="A899" s="2"/>
      <c r="B899" s="2" t="b">
        <v>0</v>
      </c>
      <c r="W899" s="2"/>
    </row>
    <row r="900">
      <c r="A900" s="2"/>
      <c r="B900" s="2" t="b">
        <v>0</v>
      </c>
      <c r="W900" s="2"/>
    </row>
    <row r="901">
      <c r="A901" s="2"/>
      <c r="B901" s="2" t="b">
        <v>0</v>
      </c>
      <c r="W901" s="2"/>
    </row>
    <row r="902">
      <c r="A902" s="2"/>
      <c r="B902" s="2" t="b">
        <v>0</v>
      </c>
      <c r="W902" s="2"/>
    </row>
    <row r="903">
      <c r="A903" s="2"/>
      <c r="B903" s="2" t="b">
        <v>0</v>
      </c>
      <c r="W903" s="2"/>
    </row>
    <row r="904">
      <c r="A904" s="2"/>
      <c r="B904" s="2" t="b">
        <v>0</v>
      </c>
      <c r="W904" s="2"/>
    </row>
    <row r="905">
      <c r="A905" s="2"/>
      <c r="B905" s="2" t="b">
        <v>0</v>
      </c>
      <c r="W905" s="2"/>
    </row>
    <row r="906">
      <c r="A906" s="2"/>
      <c r="B906" s="2" t="b">
        <v>0</v>
      </c>
      <c r="W906" s="2"/>
    </row>
    <row r="907">
      <c r="A907" s="2"/>
      <c r="B907" s="2" t="b">
        <v>0</v>
      </c>
      <c r="W907" s="2"/>
    </row>
    <row r="908">
      <c r="A908" s="2"/>
      <c r="B908" s="2" t="b">
        <v>0</v>
      </c>
      <c r="W908" s="2"/>
    </row>
    <row r="909">
      <c r="A909" s="2"/>
      <c r="B909" s="2" t="b">
        <v>0</v>
      </c>
      <c r="W909" s="2"/>
    </row>
    <row r="910">
      <c r="A910" s="2"/>
      <c r="B910" s="2" t="b">
        <v>0</v>
      </c>
      <c r="W910" s="2"/>
    </row>
    <row r="911">
      <c r="A911" s="2"/>
      <c r="B911" s="2" t="b">
        <v>0</v>
      </c>
      <c r="W911" s="2"/>
    </row>
    <row r="912">
      <c r="A912" s="2"/>
      <c r="B912" s="2" t="b">
        <v>0</v>
      </c>
      <c r="W912" s="2"/>
    </row>
    <row r="913">
      <c r="A913" s="2"/>
      <c r="B913" s="2" t="b">
        <v>0</v>
      </c>
      <c r="W913" s="2"/>
    </row>
    <row r="914">
      <c r="A914" s="2"/>
      <c r="B914" s="2" t="b">
        <v>0</v>
      </c>
      <c r="W914" s="2"/>
    </row>
    <row r="915">
      <c r="A915" s="2"/>
      <c r="B915" s="2" t="b">
        <v>0</v>
      </c>
      <c r="W915" s="2"/>
    </row>
    <row r="916">
      <c r="A916" s="2"/>
      <c r="B916" s="2" t="b">
        <v>0</v>
      </c>
      <c r="W916" s="2"/>
    </row>
    <row r="917">
      <c r="A917" s="2"/>
      <c r="B917" s="2" t="b">
        <v>0</v>
      </c>
      <c r="W917" s="2"/>
    </row>
    <row r="918">
      <c r="A918" s="2"/>
      <c r="B918" s="2" t="b">
        <v>0</v>
      </c>
      <c r="W918" s="2"/>
    </row>
    <row r="919">
      <c r="A919" s="2"/>
      <c r="B919" s="2" t="b">
        <v>0</v>
      </c>
      <c r="W919" s="2"/>
    </row>
    <row r="920">
      <c r="A920" s="2"/>
      <c r="B920" s="2" t="b">
        <v>0</v>
      </c>
      <c r="W920" s="2"/>
    </row>
    <row r="921">
      <c r="A921" s="2"/>
      <c r="B921" s="2" t="b">
        <v>0</v>
      </c>
      <c r="W921" s="2"/>
    </row>
    <row r="922">
      <c r="A922" s="2"/>
      <c r="B922" s="2" t="b">
        <v>0</v>
      </c>
      <c r="W922" s="2"/>
    </row>
    <row r="923">
      <c r="A923" s="2"/>
      <c r="B923" s="2" t="b">
        <v>0</v>
      </c>
      <c r="W923" s="2"/>
    </row>
    <row r="924">
      <c r="A924" s="2"/>
      <c r="B924" s="2" t="b">
        <v>0</v>
      </c>
      <c r="W924" s="2"/>
    </row>
    <row r="925">
      <c r="A925" s="2"/>
      <c r="B925" s="2" t="b">
        <v>0</v>
      </c>
      <c r="W925" s="2"/>
    </row>
    <row r="926">
      <c r="A926" s="2"/>
      <c r="B926" s="2" t="b">
        <v>0</v>
      </c>
      <c r="W926" s="2"/>
    </row>
    <row r="927">
      <c r="A927" s="2"/>
      <c r="B927" s="2" t="b">
        <v>0</v>
      </c>
      <c r="W927" s="2"/>
    </row>
    <row r="928">
      <c r="A928" s="2"/>
      <c r="B928" s="2" t="b">
        <v>0</v>
      </c>
      <c r="W928" s="2"/>
    </row>
    <row r="929">
      <c r="A929" s="2"/>
      <c r="B929" s="2" t="b">
        <v>0</v>
      </c>
      <c r="W929" s="2"/>
    </row>
    <row r="930">
      <c r="A930" s="2"/>
      <c r="B930" s="2" t="b">
        <v>0</v>
      </c>
      <c r="W930" s="2"/>
    </row>
    <row r="931">
      <c r="A931" s="2"/>
      <c r="B931" s="2" t="b">
        <v>0</v>
      </c>
      <c r="W931" s="2"/>
    </row>
    <row r="932">
      <c r="A932" s="2"/>
      <c r="B932" s="2" t="b">
        <v>0</v>
      </c>
      <c r="W932" s="2"/>
    </row>
    <row r="933">
      <c r="A933" s="2"/>
      <c r="B933" s="2" t="b">
        <v>0</v>
      </c>
      <c r="W933" s="2"/>
    </row>
    <row r="934">
      <c r="A934" s="2"/>
      <c r="B934" s="2" t="b">
        <v>0</v>
      </c>
      <c r="W934" s="2"/>
    </row>
    <row r="935">
      <c r="A935" s="2"/>
      <c r="B935" s="2" t="b">
        <v>0</v>
      </c>
      <c r="W935" s="2"/>
    </row>
    <row r="936">
      <c r="A936" s="2"/>
      <c r="B936" s="2" t="b">
        <v>0</v>
      </c>
      <c r="W936" s="2"/>
    </row>
    <row r="937">
      <c r="A937" s="2"/>
      <c r="B937" s="2" t="b">
        <v>0</v>
      </c>
      <c r="W937" s="2"/>
    </row>
    <row r="938">
      <c r="A938" s="2"/>
      <c r="B938" s="2" t="b">
        <v>0</v>
      </c>
      <c r="W938" s="2"/>
    </row>
    <row r="939">
      <c r="A939" s="2"/>
      <c r="B939" s="2" t="b">
        <v>0</v>
      </c>
      <c r="W939" s="2"/>
    </row>
    <row r="940">
      <c r="A940" s="2"/>
      <c r="B940" s="2" t="b">
        <v>0</v>
      </c>
      <c r="W940" s="2"/>
    </row>
    <row r="941">
      <c r="A941" s="2"/>
      <c r="B941" s="2" t="b">
        <v>0</v>
      </c>
      <c r="W941" s="2"/>
    </row>
    <row r="942">
      <c r="A942" s="2"/>
      <c r="B942" s="2" t="b">
        <v>0</v>
      </c>
      <c r="W942" s="2"/>
    </row>
    <row r="943">
      <c r="A943" s="2"/>
      <c r="B943" s="2" t="b">
        <v>0</v>
      </c>
      <c r="W943" s="2"/>
    </row>
    <row r="944">
      <c r="A944" s="2"/>
      <c r="B944" s="2" t="b">
        <v>0</v>
      </c>
      <c r="W944" s="2"/>
    </row>
    <row r="945">
      <c r="A945" s="2"/>
      <c r="B945" s="2" t="b">
        <v>0</v>
      </c>
      <c r="W945" s="2"/>
    </row>
    <row r="946">
      <c r="A946" s="2"/>
      <c r="B946" s="2" t="b">
        <v>0</v>
      </c>
      <c r="W946" s="2"/>
    </row>
    <row r="947">
      <c r="A947" s="2"/>
      <c r="B947" s="2" t="b">
        <v>0</v>
      </c>
      <c r="W947" s="2"/>
    </row>
    <row r="948">
      <c r="A948" s="2"/>
      <c r="B948" s="2" t="b">
        <v>0</v>
      </c>
      <c r="W948" s="2"/>
    </row>
    <row r="949">
      <c r="A949" s="2"/>
      <c r="B949" s="2" t="b">
        <v>0</v>
      </c>
      <c r="W949" s="2"/>
    </row>
    <row r="950">
      <c r="A950" s="2"/>
      <c r="B950" s="2" t="b">
        <v>0</v>
      </c>
      <c r="W950" s="2"/>
    </row>
    <row r="951">
      <c r="A951" s="2"/>
      <c r="B951" s="2" t="b">
        <v>0</v>
      </c>
      <c r="W951" s="2"/>
    </row>
    <row r="952">
      <c r="A952" s="2"/>
      <c r="B952" s="2" t="b">
        <v>0</v>
      </c>
      <c r="W952" s="2"/>
    </row>
    <row r="953">
      <c r="A953" s="2"/>
      <c r="B953" s="2" t="b">
        <v>0</v>
      </c>
      <c r="W953" s="2"/>
    </row>
    <row r="954">
      <c r="A954" s="2"/>
      <c r="B954" s="2" t="b">
        <v>0</v>
      </c>
      <c r="W954" s="2"/>
    </row>
    <row r="955">
      <c r="A955" s="2"/>
      <c r="B955" s="2" t="b">
        <v>0</v>
      </c>
      <c r="W955" s="2"/>
    </row>
    <row r="956">
      <c r="A956" s="2"/>
      <c r="B956" s="2" t="b">
        <v>0</v>
      </c>
      <c r="W956" s="2"/>
    </row>
    <row r="957">
      <c r="A957" s="2"/>
      <c r="B957" s="2" t="b">
        <v>0</v>
      </c>
      <c r="W957" s="2"/>
    </row>
    <row r="958">
      <c r="A958" s="2"/>
      <c r="B958" s="2" t="b">
        <v>0</v>
      </c>
      <c r="W958" s="2"/>
    </row>
    <row r="959">
      <c r="A959" s="2"/>
      <c r="B959" s="2" t="b">
        <v>0</v>
      </c>
      <c r="W959" s="2"/>
    </row>
    <row r="960">
      <c r="A960" s="2"/>
      <c r="B960" s="2" t="b">
        <v>0</v>
      </c>
      <c r="W960" s="2"/>
    </row>
    <row r="961">
      <c r="A961" s="2"/>
      <c r="B961" s="2" t="b">
        <v>0</v>
      </c>
      <c r="W961" s="2"/>
    </row>
    <row r="962">
      <c r="A962" s="2"/>
      <c r="B962" s="2" t="b">
        <v>0</v>
      </c>
      <c r="W962" s="2"/>
    </row>
    <row r="963">
      <c r="A963" s="2"/>
      <c r="B963" s="2" t="b">
        <v>0</v>
      </c>
      <c r="W963" s="2"/>
    </row>
    <row r="964">
      <c r="A964" s="2"/>
      <c r="B964" s="2" t="b">
        <v>0</v>
      </c>
      <c r="W964" s="2"/>
    </row>
    <row r="965">
      <c r="A965" s="2"/>
      <c r="B965" s="2" t="b">
        <v>0</v>
      </c>
      <c r="W965" s="2"/>
    </row>
    <row r="966">
      <c r="A966" s="2"/>
      <c r="B966" s="2" t="b">
        <v>0</v>
      </c>
      <c r="W966" s="2"/>
    </row>
    <row r="967">
      <c r="A967" s="2"/>
      <c r="B967" s="2" t="b">
        <v>0</v>
      </c>
      <c r="W967" s="2"/>
    </row>
    <row r="968">
      <c r="A968" s="2"/>
      <c r="B968" s="2" t="b">
        <v>0</v>
      </c>
      <c r="W968" s="2"/>
    </row>
    <row r="969">
      <c r="A969" s="2"/>
      <c r="B969" s="2" t="b">
        <v>0</v>
      </c>
      <c r="W969" s="2"/>
    </row>
    <row r="970">
      <c r="A970" s="2"/>
      <c r="B970" s="2" t="b">
        <v>0</v>
      </c>
      <c r="W970" s="2"/>
    </row>
    <row r="971">
      <c r="A971" s="2"/>
      <c r="B971" s="2" t="b">
        <v>0</v>
      </c>
      <c r="W971" s="2"/>
    </row>
    <row r="972">
      <c r="A972" s="2"/>
      <c r="B972" s="2" t="b">
        <v>0</v>
      </c>
      <c r="W972" s="2"/>
    </row>
    <row r="973">
      <c r="A973" s="2"/>
      <c r="B973" s="2" t="b">
        <v>0</v>
      </c>
      <c r="W973" s="2"/>
    </row>
    <row r="974">
      <c r="A974" s="2"/>
      <c r="B974" s="2" t="b">
        <v>0</v>
      </c>
      <c r="W974" s="2"/>
    </row>
    <row r="975">
      <c r="A975" s="2"/>
      <c r="B975" s="2" t="b">
        <v>0</v>
      </c>
      <c r="W975" s="2"/>
    </row>
    <row r="976">
      <c r="A976" s="2"/>
      <c r="B976" s="2" t="b">
        <v>0</v>
      </c>
      <c r="W976" s="2"/>
    </row>
    <row r="977">
      <c r="A977" s="2"/>
      <c r="B977" s="2" t="b">
        <v>0</v>
      </c>
      <c r="W977" s="2"/>
    </row>
    <row r="978">
      <c r="A978" s="2"/>
      <c r="B978" s="2" t="b">
        <v>0</v>
      </c>
      <c r="W978" s="2"/>
    </row>
    <row r="979">
      <c r="A979" s="2"/>
      <c r="B979" s="2" t="b">
        <v>0</v>
      </c>
      <c r="W979" s="2"/>
    </row>
    <row r="980">
      <c r="A980" s="2"/>
      <c r="B980" s="2" t="b">
        <v>0</v>
      </c>
      <c r="W980" s="2"/>
    </row>
    <row r="981">
      <c r="A981" s="2"/>
      <c r="B981" s="2" t="b">
        <v>0</v>
      </c>
      <c r="W981" s="2"/>
    </row>
    <row r="982">
      <c r="A982" s="2"/>
      <c r="B982" s="2" t="b">
        <v>0</v>
      </c>
      <c r="W982" s="2"/>
    </row>
    <row r="983">
      <c r="A983" s="2"/>
      <c r="B983" s="2" t="b">
        <v>0</v>
      </c>
      <c r="W983" s="2"/>
    </row>
    <row r="984">
      <c r="A984" s="2"/>
      <c r="B984" s="2" t="b">
        <v>0</v>
      </c>
      <c r="W984" s="2"/>
    </row>
    <row r="985">
      <c r="A985" s="2"/>
      <c r="B985" s="2" t="b">
        <v>0</v>
      </c>
      <c r="W985" s="2"/>
    </row>
    <row r="986">
      <c r="A986" s="2"/>
      <c r="B986" s="2" t="b">
        <v>0</v>
      </c>
      <c r="W986" s="2"/>
    </row>
    <row r="987">
      <c r="A987" s="2"/>
      <c r="B987" s="2" t="b">
        <v>0</v>
      </c>
      <c r="W987" s="2"/>
    </row>
    <row r="988">
      <c r="A988" s="2"/>
      <c r="B988" s="2" t="b">
        <v>0</v>
      </c>
      <c r="W988" s="2"/>
    </row>
    <row r="989">
      <c r="A989" s="2"/>
      <c r="B989" s="2" t="b">
        <v>0</v>
      </c>
      <c r="W989" s="2"/>
    </row>
    <row r="990">
      <c r="A990" s="2"/>
      <c r="B990" s="2" t="b">
        <v>0</v>
      </c>
      <c r="W990" s="2"/>
    </row>
    <row r="991">
      <c r="A991" s="2"/>
      <c r="B991" s="2" t="b">
        <v>0</v>
      </c>
      <c r="W991" s="2"/>
    </row>
    <row r="992">
      <c r="A992" s="2"/>
      <c r="B992" s="2" t="b">
        <v>0</v>
      </c>
      <c r="W992" s="2"/>
    </row>
    <row r="993">
      <c r="A993" s="2"/>
      <c r="B993" s="2" t="b">
        <v>0</v>
      </c>
      <c r="W993" s="2"/>
    </row>
    <row r="994">
      <c r="A994" s="2"/>
      <c r="B994" s="2" t="b">
        <v>0</v>
      </c>
      <c r="W994" s="2"/>
    </row>
    <row r="995">
      <c r="A995" s="2"/>
      <c r="B995" s="2" t="b">
        <v>0</v>
      </c>
      <c r="W995" s="2"/>
    </row>
    <row r="996">
      <c r="A996" s="2"/>
      <c r="B996" s="2" t="b">
        <v>0</v>
      </c>
      <c r="W996" s="2"/>
    </row>
    <row r="997">
      <c r="A997" s="2"/>
      <c r="B997" s="2" t="b">
        <v>0</v>
      </c>
      <c r="W997" s="2"/>
    </row>
    <row r="998">
      <c r="A998" s="2"/>
      <c r="B998" s="2" t="b">
        <v>0</v>
      </c>
      <c r="W998" s="2"/>
    </row>
    <row r="999">
      <c r="A999" s="2"/>
      <c r="B999" s="2" t="b">
        <v>0</v>
      </c>
      <c r="W999" s="2"/>
    </row>
    <row r="1000">
      <c r="A1000" s="2"/>
      <c r="B1000" s="2" t="b">
        <v>0</v>
      </c>
      <c r="W1000" s="2"/>
    </row>
  </sheetData>
  <mergeCells count="1">
    <mergeCell ref="A4:B4"/>
  </mergeCells>
  <conditionalFormatting sqref="B5:B21">
    <cfRule type="expression" dxfId="0" priority="1">
      <formula>S5</formula>
    </cfRule>
  </conditionalFormatting>
  <conditionalFormatting sqref="A2">
    <cfRule type="containsBlanks" dxfId="0" priority="2">
      <formula>LEN(TRIM(A2))=0</formula>
    </cfRule>
  </conditionalFormatting>
  <dataValidations>
    <dataValidation type="list" allowBlank="1" showErrorMessage="1" sqref="A2">
      <formula1>HouseTypes!$A$2:$A1000</formula1>
    </dataValidation>
    <dataValidation type="list" allowBlank="1" showErrorMessage="1" sqref="A5:A1000">
      <formula1>HousingServices!$A$2:$A1000</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tr">
        <f>IFERROR(__xludf.DUMMYFUNCTION("IMPORTRANGE(""https://docs.google.com/spreadsheets/d/1g_AeDkwsPncYqeTMHcCDZCjj6wqB0sW_-miBSQqz6gk"",""HouseTypes!A:Z"")"),"Name")</f>
        <v>Name</v>
      </c>
      <c r="B1" s="2" t="str">
        <f>IFERROR(__xludf.DUMMYFUNCTION("""COMPUTED_VALUE"""),"Description")</f>
        <v>Description</v>
      </c>
      <c r="C1" s="2" t="str">
        <f>IFERROR(__xludf.DUMMYFUNCTION("""COMPUTED_VALUE"""),"Type")</f>
        <v>Type</v>
      </c>
      <c r="D1" s="2" t="str">
        <f>IFERROR(__xludf.DUMMYFUNCTION("""COMPUTED_VALUE"""),"Upgradeable")</f>
        <v>Upgradeable</v>
      </c>
      <c r="E1" s="2" t="str">
        <f>IFERROR(__xludf.DUMMYFUNCTION("""COMPUTED_VALUE"""),"Storage")</f>
        <v>Storage</v>
      </c>
      <c r="F1" s="2" t="str">
        <f>IFERROR(__xludf.DUMMYFUNCTION("""COMPUTED_VALUE"""),"Services Included")</f>
        <v>Services Included</v>
      </c>
      <c r="G1" s="2" t="str">
        <f>IFERROR(__xludf.DUMMYFUNCTION("""COMPUTED_VALUE"""),"Currency Type")</f>
        <v>Currency Type</v>
      </c>
      <c r="H1" s="2" t="str">
        <f>IFERROR(__xludf.DUMMYFUNCTION("""COMPUTED_VALUE"""),"Cost")</f>
        <v>Cost</v>
      </c>
      <c r="I1" s="2" t="str">
        <f>IFERROR(__xludf.DUMMYFUNCTION("""COMPUTED_VALUE"""),"Additional Storage")</f>
        <v>Additional Storage</v>
      </c>
      <c r="J1" s="2" t="str">
        <f>IFERROR(__xludf.DUMMYFUNCTION("""COMPUTED_VALUE"""),"Additional Storage 2")</f>
        <v>Additional Storage 2</v>
      </c>
      <c r="K1" s="2" t="str">
        <f>IFERROR(__xludf.DUMMYFUNCTION("""COMPUTED_VALUE"""),"Additional Storage 3")</f>
        <v>Additional Storage 3</v>
      </c>
      <c r="L1" s="2" t="str">
        <f>IFERROR(__xludf.DUMMYFUNCTION("""COMPUTED_VALUE"""),"Expanded Storage")</f>
        <v>Expanded Storage</v>
      </c>
      <c r="M1" s="2" t="str">
        <f>IFERROR(__xludf.DUMMYFUNCTION("""COMPUTED_VALUE"""),"Expanded Storage 2")</f>
        <v>Expanded Storage 2</v>
      </c>
      <c r="N1" s="2" t="str">
        <f>IFERROR(__xludf.DUMMYFUNCTION("""COMPUTED_VALUE"""),"Anti-Burglary Protection")</f>
        <v>Anti-Burglary Protection</v>
      </c>
      <c r="O1" s="2" t="str">
        <f>IFERROR(__xludf.DUMMYFUNCTION("""COMPUTED_VALUE"""),"Full Rest")</f>
        <v>Full Rest</v>
      </c>
      <c r="P1" s="2" t="str">
        <f>IFERROR(__xludf.DUMMYFUNCTION("""COMPUTED_VALUE"""),"Security Guard")</f>
        <v>Security Guard</v>
      </c>
      <c r="Q1" s="2" t="str">
        <f>IFERROR(__xludf.DUMMYFUNCTION("""COMPUTED_VALUE"""),"Personal In-House Cookshop")</f>
        <v>Personal In-House Cookshop</v>
      </c>
      <c r="R1" s="2" t="str">
        <f>IFERROR(__xludf.DUMMYFUNCTION("""COMPUTED_VALUE"""),"Personal In-House Blacksmithery")</f>
        <v>Personal In-House Blacksmithery</v>
      </c>
      <c r="S1" s="2" t="str">
        <f>IFERROR(__xludf.DUMMYFUNCTION("""COMPUTED_VALUE"""),"Personal In-House Alchemy Brewing Station")</f>
        <v>Personal In-House Alchemy Brewing Station</v>
      </c>
      <c r="T1" s="2" t="str">
        <f>IFERROR(__xludf.DUMMYFUNCTION("""COMPUTED_VALUE"""),"Personal In-House Enchanting table")</f>
        <v>Personal In-House Enchanting table</v>
      </c>
      <c r="U1" s="2" t="str">
        <f>IFERROR(__xludf.DUMMYFUNCTION("""COMPUTED_VALUE"""),"Personal In-House Breedery")</f>
        <v>Personal In-House Breedery</v>
      </c>
      <c r="V1" s="2"/>
      <c r="W1" s="2"/>
      <c r="X1" s="2"/>
      <c r="Y1" s="2"/>
      <c r="Z1" s="2"/>
    </row>
    <row r="2">
      <c r="A2" s="2" t="str">
        <f>IFERROR(__xludf.DUMMYFUNCTION("""COMPUTED_VALUE"""),"Cave")</f>
        <v>Cave</v>
      </c>
      <c r="B2" s="2" t="str">
        <f>IFERROR(__xludf.DUMMYFUNCTION("""COMPUTED_VALUE"""),"Uga Booga")</f>
        <v>Uga Booga</v>
      </c>
      <c r="C2" s="2" t="str">
        <f>IFERROR(__xludf.DUMMYFUNCTION("""COMPUTED_VALUE"""),"Home")</f>
        <v>Home</v>
      </c>
      <c r="D2" s="2" t="b">
        <f>IFERROR(__xludf.DUMMYFUNCTION("""COMPUTED_VALUE"""),FALSE)</f>
        <v>0</v>
      </c>
      <c r="E2" s="2">
        <f>IFERROR(__xludf.DUMMYFUNCTION("""COMPUTED_VALUE"""),25.0)</f>
        <v>25</v>
      </c>
      <c r="F2" s="2"/>
      <c r="G2" s="2" t="str">
        <f>IFERROR(__xludf.DUMMYFUNCTION("""COMPUTED_VALUE"""),"Gilder")</f>
        <v>Gilder</v>
      </c>
      <c r="H2" s="35">
        <f>IFERROR(__xludf.DUMMYFUNCTION("""COMPUTED_VALUE"""),10000.0)</f>
        <v>10000</v>
      </c>
      <c r="I2" s="2" t="b">
        <f>IFERROR(__xludf.DUMMYFUNCTION("""COMPUTED_VALUE"""),FALSE)</f>
        <v>0</v>
      </c>
      <c r="J2" s="2" t="b">
        <f>IFERROR(__xludf.DUMMYFUNCTION("""COMPUTED_VALUE"""),FALSE)</f>
        <v>0</v>
      </c>
      <c r="K2" s="2" t="b">
        <f>IFERROR(__xludf.DUMMYFUNCTION("""COMPUTED_VALUE"""),FALSE)</f>
        <v>0</v>
      </c>
      <c r="L2" s="2" t="b">
        <f>IFERROR(__xludf.DUMMYFUNCTION("""COMPUTED_VALUE"""),FALSE)</f>
        <v>0</v>
      </c>
      <c r="M2" s="2" t="b">
        <f>IFERROR(__xludf.DUMMYFUNCTION("""COMPUTED_VALUE"""),FALSE)</f>
        <v>0</v>
      </c>
      <c r="N2" s="2" t="b">
        <f>IFERROR(__xludf.DUMMYFUNCTION("""COMPUTED_VALUE"""),FALSE)</f>
        <v>0</v>
      </c>
      <c r="O2" s="2" t="b">
        <f>IFERROR(__xludf.DUMMYFUNCTION("""COMPUTED_VALUE"""),FALSE)</f>
        <v>0</v>
      </c>
      <c r="P2" s="2" t="b">
        <f>IFERROR(__xludf.DUMMYFUNCTION("""COMPUTED_VALUE"""),FALSE)</f>
        <v>0</v>
      </c>
      <c r="Q2" s="2" t="b">
        <f>IFERROR(__xludf.DUMMYFUNCTION("""COMPUTED_VALUE"""),FALSE)</f>
        <v>0</v>
      </c>
      <c r="R2" s="2" t="b">
        <f>IFERROR(__xludf.DUMMYFUNCTION("""COMPUTED_VALUE"""),FALSE)</f>
        <v>0</v>
      </c>
      <c r="S2" s="2" t="b">
        <f>IFERROR(__xludf.DUMMYFUNCTION("""COMPUTED_VALUE"""),FALSE)</f>
        <v>0</v>
      </c>
      <c r="T2" s="2" t="b">
        <f>IFERROR(__xludf.DUMMYFUNCTION("""COMPUTED_VALUE"""),FALSE)</f>
        <v>0</v>
      </c>
      <c r="U2" s="2" t="b">
        <f>IFERROR(__xludf.DUMMYFUNCTION("""COMPUTED_VALUE"""),FALSE)</f>
        <v>0</v>
      </c>
      <c r="V2" s="2"/>
      <c r="W2" s="2"/>
      <c r="X2" s="2"/>
      <c r="Y2" s="2"/>
      <c r="Z2" s="2"/>
    </row>
    <row r="3">
      <c r="A3" s="2" t="str">
        <f>IFERROR(__xludf.DUMMYFUNCTION("""COMPUTED_VALUE"""),"Hut")</f>
        <v>Hut</v>
      </c>
      <c r="B3" s="2"/>
      <c r="C3" s="2" t="str">
        <f>IFERROR(__xludf.DUMMYFUNCTION("""COMPUTED_VALUE"""),"Home")</f>
        <v>Home</v>
      </c>
      <c r="D3" s="2" t="b">
        <f>IFERROR(__xludf.DUMMYFUNCTION("""COMPUTED_VALUE"""),FALSE)</f>
        <v>0</v>
      </c>
      <c r="E3" s="2">
        <f>IFERROR(__xludf.DUMMYFUNCTION("""COMPUTED_VALUE"""),50.0)</f>
        <v>50</v>
      </c>
      <c r="F3" s="2"/>
      <c r="G3" s="2" t="str">
        <f>IFERROR(__xludf.DUMMYFUNCTION("""COMPUTED_VALUE"""),"Gilder")</f>
        <v>Gilder</v>
      </c>
      <c r="H3" s="35">
        <f>IFERROR(__xludf.DUMMYFUNCTION("""COMPUTED_VALUE"""),50000.0)</f>
        <v>50000</v>
      </c>
      <c r="I3" s="2" t="b">
        <f>IFERROR(__xludf.DUMMYFUNCTION("""COMPUTED_VALUE"""),FALSE)</f>
        <v>0</v>
      </c>
      <c r="J3" s="2" t="b">
        <f>IFERROR(__xludf.DUMMYFUNCTION("""COMPUTED_VALUE"""),FALSE)</f>
        <v>0</v>
      </c>
      <c r="K3" s="2" t="b">
        <f>IFERROR(__xludf.DUMMYFUNCTION("""COMPUTED_VALUE"""),FALSE)</f>
        <v>0</v>
      </c>
      <c r="L3" s="2" t="b">
        <f>IFERROR(__xludf.DUMMYFUNCTION("""COMPUTED_VALUE"""),FALSE)</f>
        <v>0</v>
      </c>
      <c r="M3" s="2" t="b">
        <f>IFERROR(__xludf.DUMMYFUNCTION("""COMPUTED_VALUE"""),FALSE)</f>
        <v>0</v>
      </c>
      <c r="N3" s="2" t="b">
        <f>IFERROR(__xludf.DUMMYFUNCTION("""COMPUTED_VALUE"""),FALSE)</f>
        <v>0</v>
      </c>
      <c r="O3" s="2" t="b">
        <f>IFERROR(__xludf.DUMMYFUNCTION("""COMPUTED_VALUE"""),FALSE)</f>
        <v>0</v>
      </c>
      <c r="P3" s="2" t="b">
        <f>IFERROR(__xludf.DUMMYFUNCTION("""COMPUTED_VALUE"""),FALSE)</f>
        <v>0</v>
      </c>
      <c r="Q3" s="2" t="b">
        <f>IFERROR(__xludf.DUMMYFUNCTION("""COMPUTED_VALUE"""),FALSE)</f>
        <v>0</v>
      </c>
      <c r="R3" s="2" t="b">
        <f>IFERROR(__xludf.DUMMYFUNCTION("""COMPUTED_VALUE"""),FALSE)</f>
        <v>0</v>
      </c>
      <c r="S3" s="2" t="b">
        <f>IFERROR(__xludf.DUMMYFUNCTION("""COMPUTED_VALUE"""),FALSE)</f>
        <v>0</v>
      </c>
      <c r="T3" s="2" t="b">
        <f>IFERROR(__xludf.DUMMYFUNCTION("""COMPUTED_VALUE"""),FALSE)</f>
        <v>0</v>
      </c>
      <c r="U3" s="2" t="b">
        <f>IFERROR(__xludf.DUMMYFUNCTION("""COMPUTED_VALUE"""),FALSE)</f>
        <v>0</v>
      </c>
      <c r="V3" s="2"/>
      <c r="W3" s="2"/>
      <c r="X3" s="2"/>
      <c r="Y3" s="2"/>
      <c r="Z3" s="2"/>
    </row>
    <row r="4">
      <c r="A4" s="2" t="str">
        <f>IFERROR(__xludf.DUMMYFUNCTION("""COMPUTED_VALUE"""),"Cottage")</f>
        <v>Cottage</v>
      </c>
      <c r="B4" s="2"/>
      <c r="C4" s="2" t="str">
        <f>IFERROR(__xludf.DUMMYFUNCTION("""COMPUTED_VALUE"""),"Home")</f>
        <v>Home</v>
      </c>
      <c r="D4" s="2" t="b">
        <f>IFERROR(__xludf.DUMMYFUNCTION("""COMPUTED_VALUE"""),TRUE)</f>
        <v>1</v>
      </c>
      <c r="E4" s="2">
        <f>IFERROR(__xludf.DUMMYFUNCTION("""COMPUTED_VALUE"""),75.0)</f>
        <v>75</v>
      </c>
      <c r="F4" s="2"/>
      <c r="G4" s="2" t="str">
        <f>IFERROR(__xludf.DUMMYFUNCTION("""COMPUTED_VALUE"""),"Gilder")</f>
        <v>Gilder</v>
      </c>
      <c r="H4" s="35">
        <f>IFERROR(__xludf.DUMMYFUNCTION("""COMPUTED_VALUE"""),75000.0)</f>
        <v>75000</v>
      </c>
      <c r="I4" s="2" t="b">
        <f>IFERROR(__xludf.DUMMYFUNCTION("""COMPUTED_VALUE"""),FALSE)</f>
        <v>0</v>
      </c>
      <c r="J4" s="2" t="b">
        <f>IFERROR(__xludf.DUMMYFUNCTION("""COMPUTED_VALUE"""),FALSE)</f>
        <v>0</v>
      </c>
      <c r="K4" s="2" t="b">
        <f>IFERROR(__xludf.DUMMYFUNCTION("""COMPUTED_VALUE"""),FALSE)</f>
        <v>0</v>
      </c>
      <c r="L4" s="2" t="b">
        <f>IFERROR(__xludf.DUMMYFUNCTION("""COMPUTED_VALUE"""),FALSE)</f>
        <v>0</v>
      </c>
      <c r="M4" s="2" t="b">
        <f>IFERROR(__xludf.DUMMYFUNCTION("""COMPUTED_VALUE"""),FALSE)</f>
        <v>0</v>
      </c>
      <c r="N4" s="2" t="b">
        <f>IFERROR(__xludf.DUMMYFUNCTION("""COMPUTED_VALUE"""),FALSE)</f>
        <v>0</v>
      </c>
      <c r="O4" s="2" t="b">
        <f>IFERROR(__xludf.DUMMYFUNCTION("""COMPUTED_VALUE"""),FALSE)</f>
        <v>0</v>
      </c>
      <c r="P4" s="2" t="b">
        <f>IFERROR(__xludf.DUMMYFUNCTION("""COMPUTED_VALUE"""),FALSE)</f>
        <v>0</v>
      </c>
      <c r="Q4" s="2" t="b">
        <f>IFERROR(__xludf.DUMMYFUNCTION("""COMPUTED_VALUE"""),FALSE)</f>
        <v>0</v>
      </c>
      <c r="R4" s="2" t="b">
        <f>IFERROR(__xludf.DUMMYFUNCTION("""COMPUTED_VALUE"""),FALSE)</f>
        <v>0</v>
      </c>
      <c r="S4" s="2" t="b">
        <f>IFERROR(__xludf.DUMMYFUNCTION("""COMPUTED_VALUE"""),FALSE)</f>
        <v>0</v>
      </c>
      <c r="T4" s="2" t="b">
        <f>IFERROR(__xludf.DUMMYFUNCTION("""COMPUTED_VALUE"""),FALSE)</f>
        <v>0</v>
      </c>
      <c r="U4" s="2" t="b">
        <f>IFERROR(__xludf.DUMMYFUNCTION("""COMPUTED_VALUE"""),FALSE)</f>
        <v>0</v>
      </c>
      <c r="V4" s="2"/>
      <c r="W4" s="2"/>
      <c r="X4" s="2"/>
      <c r="Y4" s="2"/>
      <c r="Z4" s="2"/>
    </row>
    <row r="5">
      <c r="A5" s="2" t="str">
        <f>IFERROR(__xludf.DUMMYFUNCTION("""COMPUTED_VALUE"""),"Tenement")</f>
        <v>Tenement</v>
      </c>
      <c r="B5" s="2"/>
      <c r="C5" s="2" t="str">
        <f>IFERROR(__xludf.DUMMYFUNCTION("""COMPUTED_VALUE"""),"Home")</f>
        <v>Home</v>
      </c>
      <c r="D5" s="2" t="b">
        <f>IFERROR(__xludf.DUMMYFUNCTION("""COMPUTED_VALUE"""),TRUE)</f>
        <v>1</v>
      </c>
      <c r="E5" s="2">
        <f>IFERROR(__xludf.DUMMYFUNCTION("""COMPUTED_VALUE"""),100.0)</f>
        <v>100</v>
      </c>
      <c r="F5" s="2"/>
      <c r="G5" s="2" t="str">
        <f>IFERROR(__xludf.DUMMYFUNCTION("""COMPUTED_VALUE"""),"Gilder")</f>
        <v>Gilder</v>
      </c>
      <c r="H5" s="35">
        <f>IFERROR(__xludf.DUMMYFUNCTION("""COMPUTED_VALUE"""),100000.0)</f>
        <v>100000</v>
      </c>
      <c r="I5" s="2" t="b">
        <f>IFERROR(__xludf.DUMMYFUNCTION("""COMPUTED_VALUE"""),FALSE)</f>
        <v>0</v>
      </c>
      <c r="J5" s="2" t="b">
        <f>IFERROR(__xludf.DUMMYFUNCTION("""COMPUTED_VALUE"""),FALSE)</f>
        <v>0</v>
      </c>
      <c r="K5" s="2" t="b">
        <f>IFERROR(__xludf.DUMMYFUNCTION("""COMPUTED_VALUE"""),FALSE)</f>
        <v>0</v>
      </c>
      <c r="L5" s="2" t="b">
        <f>IFERROR(__xludf.DUMMYFUNCTION("""COMPUTED_VALUE"""),FALSE)</f>
        <v>0</v>
      </c>
      <c r="M5" s="2" t="b">
        <f>IFERROR(__xludf.DUMMYFUNCTION("""COMPUTED_VALUE"""),FALSE)</f>
        <v>0</v>
      </c>
      <c r="N5" s="2" t="b">
        <f>IFERROR(__xludf.DUMMYFUNCTION("""COMPUTED_VALUE"""),FALSE)</f>
        <v>0</v>
      </c>
      <c r="O5" s="2" t="b">
        <f>IFERROR(__xludf.DUMMYFUNCTION("""COMPUTED_VALUE"""),FALSE)</f>
        <v>0</v>
      </c>
      <c r="P5" s="2" t="b">
        <f>IFERROR(__xludf.DUMMYFUNCTION("""COMPUTED_VALUE"""),FALSE)</f>
        <v>0</v>
      </c>
      <c r="Q5" s="2" t="b">
        <f>IFERROR(__xludf.DUMMYFUNCTION("""COMPUTED_VALUE"""),FALSE)</f>
        <v>0</v>
      </c>
      <c r="R5" s="2" t="b">
        <f>IFERROR(__xludf.DUMMYFUNCTION("""COMPUTED_VALUE"""),FALSE)</f>
        <v>0</v>
      </c>
      <c r="S5" s="2" t="b">
        <f>IFERROR(__xludf.DUMMYFUNCTION("""COMPUTED_VALUE"""),FALSE)</f>
        <v>0</v>
      </c>
      <c r="T5" s="2" t="b">
        <f>IFERROR(__xludf.DUMMYFUNCTION("""COMPUTED_VALUE"""),FALSE)</f>
        <v>0</v>
      </c>
      <c r="U5" s="2" t="b">
        <f>IFERROR(__xludf.DUMMYFUNCTION("""COMPUTED_VALUE"""),FALSE)</f>
        <v>0</v>
      </c>
      <c r="V5" s="2"/>
      <c r="W5" s="2"/>
      <c r="X5" s="2"/>
      <c r="Y5" s="2"/>
      <c r="Z5" s="2"/>
    </row>
    <row r="6">
      <c r="A6" s="2" t="str">
        <f>IFERROR(__xludf.DUMMYFUNCTION("""COMPUTED_VALUE"""),"Homestead")</f>
        <v>Homestead</v>
      </c>
      <c r="B6" s="2"/>
      <c r="C6" s="2" t="str">
        <f>IFERROR(__xludf.DUMMYFUNCTION("""COMPUTED_VALUE"""),"Home")</f>
        <v>Home</v>
      </c>
      <c r="D6" s="2" t="b">
        <f>IFERROR(__xludf.DUMMYFUNCTION("""COMPUTED_VALUE"""),TRUE)</f>
        <v>1</v>
      </c>
      <c r="E6" s="2">
        <f>IFERROR(__xludf.DUMMYFUNCTION("""COMPUTED_VALUE"""),200.0)</f>
        <v>200</v>
      </c>
      <c r="F6" s="2"/>
      <c r="G6" s="2" t="str">
        <f>IFERROR(__xludf.DUMMYFUNCTION("""COMPUTED_VALUE"""),"Gilder")</f>
        <v>Gilder</v>
      </c>
      <c r="H6" s="35">
        <f>IFERROR(__xludf.DUMMYFUNCTION("""COMPUTED_VALUE"""),1.0E7)</f>
        <v>10000000</v>
      </c>
      <c r="I6" s="2" t="b">
        <f>IFERROR(__xludf.DUMMYFUNCTION("""COMPUTED_VALUE"""),FALSE)</f>
        <v>0</v>
      </c>
      <c r="J6" s="2" t="b">
        <f>IFERROR(__xludf.DUMMYFUNCTION("""COMPUTED_VALUE"""),FALSE)</f>
        <v>0</v>
      </c>
      <c r="K6" s="2" t="b">
        <f>IFERROR(__xludf.DUMMYFUNCTION("""COMPUTED_VALUE"""),FALSE)</f>
        <v>0</v>
      </c>
      <c r="L6" s="2" t="b">
        <f>IFERROR(__xludf.DUMMYFUNCTION("""COMPUTED_VALUE"""),FALSE)</f>
        <v>0</v>
      </c>
      <c r="M6" s="2" t="b">
        <f>IFERROR(__xludf.DUMMYFUNCTION("""COMPUTED_VALUE"""),FALSE)</f>
        <v>0</v>
      </c>
      <c r="N6" s="2" t="b">
        <f>IFERROR(__xludf.DUMMYFUNCTION("""COMPUTED_VALUE"""),FALSE)</f>
        <v>0</v>
      </c>
      <c r="O6" s="2" t="b">
        <f>IFERROR(__xludf.DUMMYFUNCTION("""COMPUTED_VALUE"""),FALSE)</f>
        <v>0</v>
      </c>
      <c r="P6" s="2" t="b">
        <f>IFERROR(__xludf.DUMMYFUNCTION("""COMPUTED_VALUE"""),FALSE)</f>
        <v>0</v>
      </c>
      <c r="Q6" s="2" t="b">
        <f>IFERROR(__xludf.DUMMYFUNCTION("""COMPUTED_VALUE"""),FALSE)</f>
        <v>0</v>
      </c>
      <c r="R6" s="2" t="b">
        <f>IFERROR(__xludf.DUMMYFUNCTION("""COMPUTED_VALUE"""),FALSE)</f>
        <v>0</v>
      </c>
      <c r="S6" s="2" t="b">
        <f>IFERROR(__xludf.DUMMYFUNCTION("""COMPUTED_VALUE"""),FALSE)</f>
        <v>0</v>
      </c>
      <c r="T6" s="2" t="b">
        <f>IFERROR(__xludf.DUMMYFUNCTION("""COMPUTED_VALUE"""),FALSE)</f>
        <v>0</v>
      </c>
      <c r="U6" s="2" t="b">
        <f>IFERROR(__xludf.DUMMYFUNCTION("""COMPUTED_VALUE"""),FALSE)</f>
        <v>0</v>
      </c>
      <c r="V6" s="2"/>
      <c r="W6" s="2"/>
      <c r="X6" s="2"/>
      <c r="Y6" s="2"/>
      <c r="Z6" s="2"/>
    </row>
    <row r="7">
      <c r="A7" s="2" t="str">
        <f>IFERROR(__xludf.DUMMYFUNCTION("""COMPUTED_VALUE"""),"Temple")</f>
        <v>Temple</v>
      </c>
      <c r="B7" s="2"/>
      <c r="C7" s="2" t="str">
        <f>IFERROR(__xludf.DUMMYFUNCTION("""COMPUTED_VALUE"""),"Home")</f>
        <v>Home</v>
      </c>
      <c r="D7" s="2" t="b">
        <f>IFERROR(__xludf.DUMMYFUNCTION("""COMPUTED_VALUE"""),TRUE)</f>
        <v>1</v>
      </c>
      <c r="E7" s="2">
        <f>IFERROR(__xludf.DUMMYFUNCTION("""COMPUTED_VALUE"""),300.0)</f>
        <v>300</v>
      </c>
      <c r="F7" s="2"/>
      <c r="G7" s="2" t="str">
        <f>IFERROR(__xludf.DUMMYFUNCTION("""COMPUTED_VALUE"""),"Gilder")</f>
        <v>Gilder</v>
      </c>
      <c r="H7" s="35">
        <f>IFERROR(__xludf.DUMMYFUNCTION("""COMPUTED_VALUE"""),5.0E7)</f>
        <v>50000000</v>
      </c>
      <c r="I7" s="2" t="b">
        <f>IFERROR(__xludf.DUMMYFUNCTION("""COMPUTED_VALUE"""),FALSE)</f>
        <v>0</v>
      </c>
      <c r="J7" s="2" t="b">
        <f>IFERROR(__xludf.DUMMYFUNCTION("""COMPUTED_VALUE"""),FALSE)</f>
        <v>0</v>
      </c>
      <c r="K7" s="2" t="b">
        <f>IFERROR(__xludf.DUMMYFUNCTION("""COMPUTED_VALUE"""),FALSE)</f>
        <v>0</v>
      </c>
      <c r="L7" s="2" t="b">
        <f>IFERROR(__xludf.DUMMYFUNCTION("""COMPUTED_VALUE"""),FALSE)</f>
        <v>0</v>
      </c>
      <c r="M7" s="2" t="b">
        <f>IFERROR(__xludf.DUMMYFUNCTION("""COMPUTED_VALUE"""),FALSE)</f>
        <v>0</v>
      </c>
      <c r="N7" s="2" t="b">
        <f>IFERROR(__xludf.DUMMYFUNCTION("""COMPUTED_VALUE"""),FALSE)</f>
        <v>0</v>
      </c>
      <c r="O7" s="2" t="b">
        <f>IFERROR(__xludf.DUMMYFUNCTION("""COMPUTED_VALUE"""),FALSE)</f>
        <v>0</v>
      </c>
      <c r="P7" s="2" t="b">
        <f>IFERROR(__xludf.DUMMYFUNCTION("""COMPUTED_VALUE"""),FALSE)</f>
        <v>0</v>
      </c>
      <c r="Q7" s="2" t="b">
        <f>IFERROR(__xludf.DUMMYFUNCTION("""COMPUTED_VALUE"""),FALSE)</f>
        <v>0</v>
      </c>
      <c r="R7" s="2" t="b">
        <f>IFERROR(__xludf.DUMMYFUNCTION("""COMPUTED_VALUE"""),FALSE)</f>
        <v>0</v>
      </c>
      <c r="S7" s="2" t="b">
        <f>IFERROR(__xludf.DUMMYFUNCTION("""COMPUTED_VALUE"""),FALSE)</f>
        <v>0</v>
      </c>
      <c r="T7" s="2" t="b">
        <f>IFERROR(__xludf.DUMMYFUNCTION("""COMPUTED_VALUE"""),FALSE)</f>
        <v>0</v>
      </c>
      <c r="U7" s="2" t="b">
        <f>IFERROR(__xludf.DUMMYFUNCTION("""COMPUTED_VALUE"""),FALSE)</f>
        <v>0</v>
      </c>
      <c r="V7" s="2"/>
      <c r="W7" s="2"/>
      <c r="X7" s="2"/>
      <c r="Y7" s="2"/>
      <c r="Z7" s="2"/>
    </row>
    <row r="8">
      <c r="A8" s="2" t="str">
        <f>IFERROR(__xludf.DUMMYFUNCTION("""COMPUTED_VALUE"""),"Manor")</f>
        <v>Manor</v>
      </c>
      <c r="B8" s="2"/>
      <c r="C8" s="2" t="str">
        <f>IFERROR(__xludf.DUMMYFUNCTION("""COMPUTED_VALUE"""),"Home")</f>
        <v>Home</v>
      </c>
      <c r="D8" s="2" t="b">
        <f>IFERROR(__xludf.DUMMYFUNCTION("""COMPUTED_VALUE"""),TRUE)</f>
        <v>1</v>
      </c>
      <c r="E8" s="2">
        <f>IFERROR(__xludf.DUMMYFUNCTION("""COMPUTED_VALUE"""),400.0)</f>
        <v>400</v>
      </c>
      <c r="F8" s="2" t="str">
        <f>IFERROR(__xludf.DUMMYFUNCTION("""COMPUTED_VALUE"""),"Expanded Storage
Full Rest")</f>
        <v>Expanded Storage
Full Rest</v>
      </c>
      <c r="G8" s="2" t="str">
        <f>IFERROR(__xludf.DUMMYFUNCTION("""COMPUTED_VALUE"""),"Gilder")</f>
        <v>Gilder</v>
      </c>
      <c r="H8" s="35">
        <f>IFERROR(__xludf.DUMMYFUNCTION("""COMPUTED_VALUE"""),1.0E8)</f>
        <v>100000000</v>
      </c>
      <c r="I8" s="2" t="b">
        <f>IFERROR(__xludf.DUMMYFUNCTION("""COMPUTED_VALUE"""),FALSE)</f>
        <v>0</v>
      </c>
      <c r="J8" s="2" t="b">
        <f>IFERROR(__xludf.DUMMYFUNCTION("""COMPUTED_VALUE"""),FALSE)</f>
        <v>0</v>
      </c>
      <c r="K8" s="2" t="b">
        <f>IFERROR(__xludf.DUMMYFUNCTION("""COMPUTED_VALUE"""),FALSE)</f>
        <v>0</v>
      </c>
      <c r="L8" s="2" t="b">
        <f>IFERROR(__xludf.DUMMYFUNCTION("""COMPUTED_VALUE"""),TRUE)</f>
        <v>1</v>
      </c>
      <c r="M8" s="2" t="b">
        <f>IFERROR(__xludf.DUMMYFUNCTION("""COMPUTED_VALUE"""),FALSE)</f>
        <v>0</v>
      </c>
      <c r="N8" s="2" t="b">
        <f>IFERROR(__xludf.DUMMYFUNCTION("""COMPUTED_VALUE"""),FALSE)</f>
        <v>0</v>
      </c>
      <c r="O8" s="2" t="b">
        <f>IFERROR(__xludf.DUMMYFUNCTION("""COMPUTED_VALUE"""),TRUE)</f>
        <v>1</v>
      </c>
      <c r="P8" s="2" t="b">
        <f>IFERROR(__xludf.DUMMYFUNCTION("""COMPUTED_VALUE"""),FALSE)</f>
        <v>0</v>
      </c>
      <c r="Q8" s="2" t="b">
        <f>IFERROR(__xludf.DUMMYFUNCTION("""COMPUTED_VALUE"""),FALSE)</f>
        <v>0</v>
      </c>
      <c r="R8" s="2" t="b">
        <f>IFERROR(__xludf.DUMMYFUNCTION("""COMPUTED_VALUE"""),FALSE)</f>
        <v>0</v>
      </c>
      <c r="S8" s="2" t="b">
        <f>IFERROR(__xludf.DUMMYFUNCTION("""COMPUTED_VALUE"""),FALSE)</f>
        <v>0</v>
      </c>
      <c r="T8" s="2" t="b">
        <f>IFERROR(__xludf.DUMMYFUNCTION("""COMPUTED_VALUE"""),FALSE)</f>
        <v>0</v>
      </c>
      <c r="U8" s="2" t="b">
        <f>IFERROR(__xludf.DUMMYFUNCTION("""COMPUTED_VALUE"""),FALSE)</f>
        <v>0</v>
      </c>
      <c r="V8" s="2"/>
      <c r="W8" s="2"/>
      <c r="X8" s="2"/>
      <c r="Y8" s="2"/>
      <c r="Z8" s="2"/>
    </row>
    <row r="9">
      <c r="A9" s="2" t="str">
        <f>IFERROR(__xludf.DUMMYFUNCTION("""COMPUTED_VALUE"""),"Suite")</f>
        <v>Suite</v>
      </c>
      <c r="B9" s="2"/>
      <c r="C9" s="2" t="str">
        <f>IFERROR(__xludf.DUMMYFUNCTION("""COMPUTED_VALUE"""),"Home")</f>
        <v>Home</v>
      </c>
      <c r="D9" s="2" t="b">
        <f>IFERROR(__xludf.DUMMYFUNCTION("""COMPUTED_VALUE"""),TRUE)</f>
        <v>1</v>
      </c>
      <c r="E9" s="2">
        <f>IFERROR(__xludf.DUMMYFUNCTION("""COMPUTED_VALUE"""),500.0)</f>
        <v>500</v>
      </c>
      <c r="F9" s="2" t="str">
        <f>IFERROR(__xludf.DUMMYFUNCTION("""COMPUTED_VALUE"""),"Expanded Storage
Full Rest")</f>
        <v>Expanded Storage
Full Rest</v>
      </c>
      <c r="G9" s="2" t="str">
        <f>IFERROR(__xludf.DUMMYFUNCTION("""COMPUTED_VALUE"""),"Gilder")</f>
        <v>Gilder</v>
      </c>
      <c r="H9" s="35">
        <f>IFERROR(__xludf.DUMMYFUNCTION("""COMPUTED_VALUE"""),2.5E8)</f>
        <v>250000000</v>
      </c>
      <c r="I9" s="2" t="b">
        <f>IFERROR(__xludf.DUMMYFUNCTION("""COMPUTED_VALUE"""),FALSE)</f>
        <v>0</v>
      </c>
      <c r="J9" s="2" t="b">
        <f>IFERROR(__xludf.DUMMYFUNCTION("""COMPUTED_VALUE"""),FALSE)</f>
        <v>0</v>
      </c>
      <c r="K9" s="2" t="b">
        <f>IFERROR(__xludf.DUMMYFUNCTION("""COMPUTED_VALUE"""),FALSE)</f>
        <v>0</v>
      </c>
      <c r="L9" s="2" t="b">
        <f>IFERROR(__xludf.DUMMYFUNCTION("""COMPUTED_VALUE"""),TRUE)</f>
        <v>1</v>
      </c>
      <c r="M9" s="2" t="b">
        <f>IFERROR(__xludf.DUMMYFUNCTION("""COMPUTED_VALUE"""),FALSE)</f>
        <v>0</v>
      </c>
      <c r="N9" s="2" t="b">
        <f>IFERROR(__xludf.DUMMYFUNCTION("""COMPUTED_VALUE"""),FALSE)</f>
        <v>0</v>
      </c>
      <c r="O9" s="2" t="b">
        <f>IFERROR(__xludf.DUMMYFUNCTION("""COMPUTED_VALUE"""),TRUE)</f>
        <v>1</v>
      </c>
      <c r="P9" s="2" t="b">
        <f>IFERROR(__xludf.DUMMYFUNCTION("""COMPUTED_VALUE"""),FALSE)</f>
        <v>0</v>
      </c>
      <c r="Q9" s="2" t="b">
        <f>IFERROR(__xludf.DUMMYFUNCTION("""COMPUTED_VALUE"""),FALSE)</f>
        <v>0</v>
      </c>
      <c r="R9" s="2" t="b">
        <f>IFERROR(__xludf.DUMMYFUNCTION("""COMPUTED_VALUE"""),FALSE)</f>
        <v>0</v>
      </c>
      <c r="S9" s="2" t="b">
        <f>IFERROR(__xludf.DUMMYFUNCTION("""COMPUTED_VALUE"""),FALSE)</f>
        <v>0</v>
      </c>
      <c r="T9" s="2" t="b">
        <f>IFERROR(__xludf.DUMMYFUNCTION("""COMPUTED_VALUE"""),FALSE)</f>
        <v>0</v>
      </c>
      <c r="U9" s="2" t="b">
        <f>IFERROR(__xludf.DUMMYFUNCTION("""COMPUTED_VALUE"""),FALSE)</f>
        <v>0</v>
      </c>
      <c r="V9" s="2"/>
      <c r="W9" s="2"/>
      <c r="X9" s="2"/>
      <c r="Y9" s="2"/>
      <c r="Z9" s="2"/>
    </row>
    <row r="10">
      <c r="A10" s="2" t="str">
        <f>IFERROR(__xludf.DUMMYFUNCTION("""COMPUTED_VALUE"""),"Mansion")</f>
        <v>Mansion</v>
      </c>
      <c r="B10" s="2"/>
      <c r="C10" s="2" t="str">
        <f>IFERROR(__xludf.DUMMYFUNCTION("""COMPUTED_VALUE"""),"Home")</f>
        <v>Home</v>
      </c>
      <c r="D10" s="2" t="b">
        <f>IFERROR(__xludf.DUMMYFUNCTION("""COMPUTED_VALUE"""),TRUE)</f>
        <v>1</v>
      </c>
      <c r="E10" s="2">
        <f>IFERROR(__xludf.DUMMYFUNCTION("""COMPUTED_VALUE"""),750.0)</f>
        <v>750</v>
      </c>
      <c r="F10" s="2" t="str">
        <f>IFERROR(__xludf.DUMMYFUNCTION("""COMPUTED_VALUE"""),"Expanded Storage 2
Full Rest
Anti-Burglary Protection")</f>
        <v>Expanded Storage 2
Full Rest
Anti-Burglary Protection</v>
      </c>
      <c r="G10" s="2" t="str">
        <f>IFERROR(__xludf.DUMMYFUNCTION("""COMPUTED_VALUE"""),"Gilder")</f>
        <v>Gilder</v>
      </c>
      <c r="H10" s="35">
        <f>IFERROR(__xludf.DUMMYFUNCTION("""COMPUTED_VALUE"""),5.0E8)</f>
        <v>500000000</v>
      </c>
      <c r="I10" s="2" t="b">
        <f>IFERROR(__xludf.DUMMYFUNCTION("""COMPUTED_VALUE"""),FALSE)</f>
        <v>0</v>
      </c>
      <c r="J10" s="2" t="b">
        <f>IFERROR(__xludf.DUMMYFUNCTION("""COMPUTED_VALUE"""),FALSE)</f>
        <v>0</v>
      </c>
      <c r="K10" s="2" t="b">
        <f>IFERROR(__xludf.DUMMYFUNCTION("""COMPUTED_VALUE"""),FALSE)</f>
        <v>0</v>
      </c>
      <c r="L10" s="2" t="b">
        <f>IFERROR(__xludf.DUMMYFUNCTION("""COMPUTED_VALUE"""),FALSE)</f>
        <v>0</v>
      </c>
      <c r="M10" s="2" t="b">
        <f>IFERROR(__xludf.DUMMYFUNCTION("""COMPUTED_VALUE"""),TRUE)</f>
        <v>1</v>
      </c>
      <c r="N10" s="2" t="b">
        <f>IFERROR(__xludf.DUMMYFUNCTION("""COMPUTED_VALUE"""),TRUE)</f>
        <v>1</v>
      </c>
      <c r="O10" s="2" t="b">
        <f>IFERROR(__xludf.DUMMYFUNCTION("""COMPUTED_VALUE"""),TRUE)</f>
        <v>1</v>
      </c>
      <c r="P10" s="2" t="b">
        <f>IFERROR(__xludf.DUMMYFUNCTION("""COMPUTED_VALUE"""),FALSE)</f>
        <v>0</v>
      </c>
      <c r="Q10" s="2" t="b">
        <f>IFERROR(__xludf.DUMMYFUNCTION("""COMPUTED_VALUE"""),FALSE)</f>
        <v>0</v>
      </c>
      <c r="R10" s="2" t="b">
        <f>IFERROR(__xludf.DUMMYFUNCTION("""COMPUTED_VALUE"""),FALSE)</f>
        <v>0</v>
      </c>
      <c r="S10" s="2" t="b">
        <f>IFERROR(__xludf.DUMMYFUNCTION("""COMPUTED_VALUE"""),FALSE)</f>
        <v>0</v>
      </c>
      <c r="T10" s="2" t="b">
        <f>IFERROR(__xludf.DUMMYFUNCTION("""COMPUTED_VALUE"""),FALSE)</f>
        <v>0</v>
      </c>
      <c r="U10" s="2" t="b">
        <f>IFERROR(__xludf.DUMMYFUNCTION("""COMPUTED_VALUE"""),FALSE)</f>
        <v>0</v>
      </c>
      <c r="V10" s="2"/>
      <c r="W10" s="2"/>
      <c r="X10" s="2"/>
      <c r="Y10" s="2"/>
      <c r="Z10" s="2"/>
    </row>
    <row r="11">
      <c r="A11" s="2" t="str">
        <f>IFERROR(__xludf.DUMMYFUNCTION("""COMPUTED_VALUE"""),"Castle")</f>
        <v>Castle</v>
      </c>
      <c r="B11" s="2"/>
      <c r="C11" s="2" t="str">
        <f>IFERROR(__xludf.DUMMYFUNCTION("""COMPUTED_VALUE"""),"Home")</f>
        <v>Home</v>
      </c>
      <c r="D11" s="2" t="b">
        <f>IFERROR(__xludf.DUMMYFUNCTION("""COMPUTED_VALUE"""),TRUE)</f>
        <v>1</v>
      </c>
      <c r="E11" s="2">
        <f>IFERROR(__xludf.DUMMYFUNCTION("""COMPUTED_VALUE"""),1000.0)</f>
        <v>1000</v>
      </c>
      <c r="F11" s="2" t="str">
        <f>IFERROR(__xludf.DUMMYFUNCTION("""COMPUTED_VALUE"""),"Security Guard
Expanded Storage 2
Full Rest")</f>
        <v>Security Guard
Expanded Storage 2
Full Rest</v>
      </c>
      <c r="G11" s="2" t="str">
        <f>IFERROR(__xludf.DUMMYFUNCTION("""COMPUTED_VALUE"""),"Gilder")</f>
        <v>Gilder</v>
      </c>
      <c r="H11" s="35">
        <f>IFERROR(__xludf.DUMMYFUNCTION("""COMPUTED_VALUE"""),1.0E9)</f>
        <v>1000000000</v>
      </c>
      <c r="I11" s="2" t="b">
        <f>IFERROR(__xludf.DUMMYFUNCTION("""COMPUTED_VALUE"""),FALSE)</f>
        <v>0</v>
      </c>
      <c r="J11" s="2" t="b">
        <f>IFERROR(__xludf.DUMMYFUNCTION("""COMPUTED_VALUE"""),FALSE)</f>
        <v>0</v>
      </c>
      <c r="K11" s="2" t="b">
        <f>IFERROR(__xludf.DUMMYFUNCTION("""COMPUTED_VALUE"""),FALSE)</f>
        <v>0</v>
      </c>
      <c r="L11" s="2" t="b">
        <f>IFERROR(__xludf.DUMMYFUNCTION("""COMPUTED_VALUE"""),FALSE)</f>
        <v>0</v>
      </c>
      <c r="M11" s="2" t="b">
        <f>IFERROR(__xludf.DUMMYFUNCTION("""COMPUTED_VALUE"""),TRUE)</f>
        <v>1</v>
      </c>
      <c r="N11" s="2" t="b">
        <f>IFERROR(__xludf.DUMMYFUNCTION("""COMPUTED_VALUE"""),FALSE)</f>
        <v>0</v>
      </c>
      <c r="O11" s="2" t="b">
        <f>IFERROR(__xludf.DUMMYFUNCTION("""COMPUTED_VALUE"""),TRUE)</f>
        <v>1</v>
      </c>
      <c r="P11" s="2" t="b">
        <f>IFERROR(__xludf.DUMMYFUNCTION("""COMPUTED_VALUE"""),TRUE)</f>
        <v>1</v>
      </c>
      <c r="Q11" s="2" t="b">
        <f>IFERROR(__xludf.DUMMYFUNCTION("""COMPUTED_VALUE"""),FALSE)</f>
        <v>0</v>
      </c>
      <c r="R11" s="2" t="b">
        <f>IFERROR(__xludf.DUMMYFUNCTION("""COMPUTED_VALUE"""),FALSE)</f>
        <v>0</v>
      </c>
      <c r="S11" s="2" t="b">
        <f>IFERROR(__xludf.DUMMYFUNCTION("""COMPUTED_VALUE"""),FALSE)</f>
        <v>0</v>
      </c>
      <c r="T11" s="2" t="b">
        <f>IFERROR(__xludf.DUMMYFUNCTION("""COMPUTED_VALUE"""),FALSE)</f>
        <v>0</v>
      </c>
      <c r="U11" s="2" t="b">
        <f>IFERROR(__xludf.DUMMYFUNCTION("""COMPUTED_VALUE"""),FALSE)</f>
        <v>0</v>
      </c>
      <c r="V11" s="2"/>
      <c r="W11" s="2"/>
      <c r="X11" s="2"/>
      <c r="Y11" s="2"/>
      <c r="Z11" s="2"/>
    </row>
    <row r="12">
      <c r="A12" s="2" t="str">
        <f>IFERROR(__xludf.DUMMYFUNCTION("""COMPUTED_VALUE"""),"Food Cart")</f>
        <v>Food Cart</v>
      </c>
      <c r="B12" s="2"/>
      <c r="C12" s="2" t="str">
        <f>IFERROR(__xludf.DUMMYFUNCTION("""COMPUTED_VALUE"""),"Shop")</f>
        <v>Shop</v>
      </c>
      <c r="D12" s="2" t="b">
        <f>IFERROR(__xludf.DUMMYFUNCTION("""COMPUTED_VALUE"""),FALSE)</f>
        <v>0</v>
      </c>
      <c r="E12" s="2">
        <f>IFERROR(__xludf.DUMMYFUNCTION("""COMPUTED_VALUE"""),25.0)</f>
        <v>25</v>
      </c>
      <c r="F12" s="2"/>
      <c r="G12" s="2" t="str">
        <f>IFERROR(__xludf.DUMMYFUNCTION("""COMPUTED_VALUE"""),"Gilder")</f>
        <v>Gilder</v>
      </c>
      <c r="H12" s="35">
        <f>IFERROR(__xludf.DUMMYFUNCTION("""COMPUTED_VALUE"""),10000.0)</f>
        <v>10000</v>
      </c>
      <c r="I12" s="2" t="b">
        <f>IFERROR(__xludf.DUMMYFUNCTION("""COMPUTED_VALUE"""),FALSE)</f>
        <v>0</v>
      </c>
      <c r="J12" s="2" t="b">
        <f>IFERROR(__xludf.DUMMYFUNCTION("""COMPUTED_VALUE"""),FALSE)</f>
        <v>0</v>
      </c>
      <c r="K12" s="2" t="b">
        <f>IFERROR(__xludf.DUMMYFUNCTION("""COMPUTED_VALUE"""),FALSE)</f>
        <v>0</v>
      </c>
      <c r="L12" s="2" t="b">
        <f>IFERROR(__xludf.DUMMYFUNCTION("""COMPUTED_VALUE"""),FALSE)</f>
        <v>0</v>
      </c>
      <c r="M12" s="2" t="b">
        <f>IFERROR(__xludf.DUMMYFUNCTION("""COMPUTED_VALUE"""),FALSE)</f>
        <v>0</v>
      </c>
      <c r="N12" s="2" t="b">
        <f>IFERROR(__xludf.DUMMYFUNCTION("""COMPUTED_VALUE"""),FALSE)</f>
        <v>0</v>
      </c>
      <c r="O12" s="2" t="b">
        <f>IFERROR(__xludf.DUMMYFUNCTION("""COMPUTED_VALUE"""),FALSE)</f>
        <v>0</v>
      </c>
      <c r="P12" s="2" t="b">
        <f>IFERROR(__xludf.DUMMYFUNCTION("""COMPUTED_VALUE"""),FALSE)</f>
        <v>0</v>
      </c>
      <c r="Q12" s="2" t="b">
        <f>IFERROR(__xludf.DUMMYFUNCTION("""COMPUTED_VALUE"""),FALSE)</f>
        <v>0</v>
      </c>
      <c r="R12" s="2" t="b">
        <f>IFERROR(__xludf.DUMMYFUNCTION("""COMPUTED_VALUE"""),FALSE)</f>
        <v>0</v>
      </c>
      <c r="S12" s="2" t="b">
        <f>IFERROR(__xludf.DUMMYFUNCTION("""COMPUTED_VALUE"""),FALSE)</f>
        <v>0</v>
      </c>
      <c r="T12" s="2" t="b">
        <f>IFERROR(__xludf.DUMMYFUNCTION("""COMPUTED_VALUE"""),FALSE)</f>
        <v>0</v>
      </c>
      <c r="U12" s="2" t="b">
        <f>IFERROR(__xludf.DUMMYFUNCTION("""COMPUTED_VALUE"""),FALSE)</f>
        <v>0</v>
      </c>
      <c r="V12" s="2"/>
      <c r="W12" s="2"/>
      <c r="X12" s="2"/>
      <c r="Y12" s="2"/>
      <c r="Z12" s="2"/>
    </row>
    <row r="13">
      <c r="A13" s="2" t="str">
        <f>IFERROR(__xludf.DUMMYFUNCTION("""COMPUTED_VALUE"""),"Market Rug")</f>
        <v>Market Rug</v>
      </c>
      <c r="B13" s="2"/>
      <c r="C13" s="2" t="str">
        <f>IFERROR(__xludf.DUMMYFUNCTION("""COMPUTED_VALUE"""),"Shop")</f>
        <v>Shop</v>
      </c>
      <c r="D13" s="2" t="b">
        <f>IFERROR(__xludf.DUMMYFUNCTION("""COMPUTED_VALUE"""),FALSE)</f>
        <v>0</v>
      </c>
      <c r="E13" s="2">
        <f>IFERROR(__xludf.DUMMYFUNCTION("""COMPUTED_VALUE"""),50.0)</f>
        <v>50</v>
      </c>
      <c r="F13" s="2"/>
      <c r="G13" s="2" t="str">
        <f>IFERROR(__xludf.DUMMYFUNCTION("""COMPUTED_VALUE"""),"Gilder")</f>
        <v>Gilder</v>
      </c>
      <c r="H13" s="35">
        <f>IFERROR(__xludf.DUMMYFUNCTION("""COMPUTED_VALUE"""),50000.0)</f>
        <v>50000</v>
      </c>
      <c r="I13" s="2" t="b">
        <f>IFERROR(__xludf.DUMMYFUNCTION("""COMPUTED_VALUE"""),FALSE)</f>
        <v>0</v>
      </c>
      <c r="J13" s="2" t="b">
        <f>IFERROR(__xludf.DUMMYFUNCTION("""COMPUTED_VALUE"""),FALSE)</f>
        <v>0</v>
      </c>
      <c r="K13" s="2" t="b">
        <f>IFERROR(__xludf.DUMMYFUNCTION("""COMPUTED_VALUE"""),FALSE)</f>
        <v>0</v>
      </c>
      <c r="L13" s="2" t="b">
        <f>IFERROR(__xludf.DUMMYFUNCTION("""COMPUTED_VALUE"""),FALSE)</f>
        <v>0</v>
      </c>
      <c r="M13" s="2" t="b">
        <f>IFERROR(__xludf.DUMMYFUNCTION("""COMPUTED_VALUE"""),FALSE)</f>
        <v>0</v>
      </c>
      <c r="N13" s="2" t="b">
        <f>IFERROR(__xludf.DUMMYFUNCTION("""COMPUTED_VALUE"""),FALSE)</f>
        <v>0</v>
      </c>
      <c r="O13" s="2" t="b">
        <f>IFERROR(__xludf.DUMMYFUNCTION("""COMPUTED_VALUE"""),FALSE)</f>
        <v>0</v>
      </c>
      <c r="P13" s="2" t="b">
        <f>IFERROR(__xludf.DUMMYFUNCTION("""COMPUTED_VALUE"""),FALSE)</f>
        <v>0</v>
      </c>
      <c r="Q13" s="2" t="b">
        <f>IFERROR(__xludf.DUMMYFUNCTION("""COMPUTED_VALUE"""),FALSE)</f>
        <v>0</v>
      </c>
      <c r="R13" s="2" t="b">
        <f>IFERROR(__xludf.DUMMYFUNCTION("""COMPUTED_VALUE"""),FALSE)</f>
        <v>0</v>
      </c>
      <c r="S13" s="2" t="b">
        <f>IFERROR(__xludf.DUMMYFUNCTION("""COMPUTED_VALUE"""),FALSE)</f>
        <v>0</v>
      </c>
      <c r="T13" s="2" t="b">
        <f>IFERROR(__xludf.DUMMYFUNCTION("""COMPUTED_VALUE"""),FALSE)</f>
        <v>0</v>
      </c>
      <c r="U13" s="2" t="b">
        <f>IFERROR(__xludf.DUMMYFUNCTION("""COMPUTED_VALUE"""),FALSE)</f>
        <v>0</v>
      </c>
      <c r="V13" s="2"/>
      <c r="W13" s="2"/>
      <c r="X13" s="2"/>
      <c r="Y13" s="2"/>
      <c r="Z13" s="2"/>
    </row>
    <row r="14">
      <c r="A14" s="2" t="str">
        <f>IFERROR(__xludf.DUMMYFUNCTION("""COMPUTED_VALUE"""),"Food Stall")</f>
        <v>Food Stall</v>
      </c>
      <c r="B14" s="2"/>
      <c r="C14" s="2" t="str">
        <f>IFERROR(__xludf.DUMMYFUNCTION("""COMPUTED_VALUE"""),"Shop")</f>
        <v>Shop</v>
      </c>
      <c r="D14" s="2" t="b">
        <f>IFERROR(__xludf.DUMMYFUNCTION("""COMPUTED_VALUE"""),TRUE)</f>
        <v>1</v>
      </c>
      <c r="E14" s="2">
        <f>IFERROR(__xludf.DUMMYFUNCTION("""COMPUTED_VALUE"""),75.0)</f>
        <v>75</v>
      </c>
      <c r="F14" s="2"/>
      <c r="G14" s="2" t="str">
        <f>IFERROR(__xludf.DUMMYFUNCTION("""COMPUTED_VALUE"""),"Gilder")</f>
        <v>Gilder</v>
      </c>
      <c r="H14" s="35">
        <f>IFERROR(__xludf.DUMMYFUNCTION("""COMPUTED_VALUE"""),75000.0)</f>
        <v>75000</v>
      </c>
      <c r="I14" s="2" t="b">
        <f>IFERROR(__xludf.DUMMYFUNCTION("""COMPUTED_VALUE"""),FALSE)</f>
        <v>0</v>
      </c>
      <c r="J14" s="2" t="b">
        <f>IFERROR(__xludf.DUMMYFUNCTION("""COMPUTED_VALUE"""),FALSE)</f>
        <v>0</v>
      </c>
      <c r="K14" s="2" t="b">
        <f>IFERROR(__xludf.DUMMYFUNCTION("""COMPUTED_VALUE"""),FALSE)</f>
        <v>0</v>
      </c>
      <c r="L14" s="2" t="b">
        <f>IFERROR(__xludf.DUMMYFUNCTION("""COMPUTED_VALUE"""),FALSE)</f>
        <v>0</v>
      </c>
      <c r="M14" s="2" t="b">
        <f>IFERROR(__xludf.DUMMYFUNCTION("""COMPUTED_VALUE"""),FALSE)</f>
        <v>0</v>
      </c>
      <c r="N14" s="2" t="b">
        <f>IFERROR(__xludf.DUMMYFUNCTION("""COMPUTED_VALUE"""),FALSE)</f>
        <v>0</v>
      </c>
      <c r="O14" s="2" t="b">
        <f>IFERROR(__xludf.DUMMYFUNCTION("""COMPUTED_VALUE"""),FALSE)</f>
        <v>0</v>
      </c>
      <c r="P14" s="2" t="b">
        <f>IFERROR(__xludf.DUMMYFUNCTION("""COMPUTED_VALUE"""),FALSE)</f>
        <v>0</v>
      </c>
      <c r="Q14" s="2" t="b">
        <f>IFERROR(__xludf.DUMMYFUNCTION("""COMPUTED_VALUE"""),FALSE)</f>
        <v>0</v>
      </c>
      <c r="R14" s="2" t="b">
        <f>IFERROR(__xludf.DUMMYFUNCTION("""COMPUTED_VALUE"""),FALSE)</f>
        <v>0</v>
      </c>
      <c r="S14" s="2" t="b">
        <f>IFERROR(__xludf.DUMMYFUNCTION("""COMPUTED_VALUE"""),FALSE)</f>
        <v>0</v>
      </c>
      <c r="T14" s="2" t="b">
        <f>IFERROR(__xludf.DUMMYFUNCTION("""COMPUTED_VALUE"""),FALSE)</f>
        <v>0</v>
      </c>
      <c r="U14" s="2" t="b">
        <f>IFERROR(__xludf.DUMMYFUNCTION("""COMPUTED_VALUE"""),FALSE)</f>
        <v>0</v>
      </c>
      <c r="V14" s="2"/>
      <c r="W14" s="2"/>
      <c r="X14" s="2"/>
      <c r="Y14" s="2"/>
      <c r="Z14" s="2"/>
    </row>
    <row r="15">
      <c r="A15" s="2" t="str">
        <f>IFERROR(__xludf.DUMMYFUNCTION("""COMPUTED_VALUE"""),"Market Cannopies")</f>
        <v>Market Cannopies</v>
      </c>
      <c r="B15" s="2"/>
      <c r="C15" s="2" t="str">
        <f>IFERROR(__xludf.DUMMYFUNCTION("""COMPUTED_VALUE"""),"Shop")</f>
        <v>Shop</v>
      </c>
      <c r="D15" s="2" t="b">
        <f>IFERROR(__xludf.DUMMYFUNCTION("""COMPUTED_VALUE"""),TRUE)</f>
        <v>1</v>
      </c>
      <c r="E15" s="2">
        <f>IFERROR(__xludf.DUMMYFUNCTION("""COMPUTED_VALUE"""),100.0)</f>
        <v>100</v>
      </c>
      <c r="F15" s="2"/>
      <c r="G15" s="2" t="str">
        <f>IFERROR(__xludf.DUMMYFUNCTION("""COMPUTED_VALUE"""),"Gilder")</f>
        <v>Gilder</v>
      </c>
      <c r="H15" s="35">
        <f>IFERROR(__xludf.DUMMYFUNCTION("""COMPUTED_VALUE"""),100000.0)</f>
        <v>100000</v>
      </c>
      <c r="I15" s="2" t="b">
        <f>IFERROR(__xludf.DUMMYFUNCTION("""COMPUTED_VALUE"""),FALSE)</f>
        <v>0</v>
      </c>
      <c r="J15" s="2" t="b">
        <f>IFERROR(__xludf.DUMMYFUNCTION("""COMPUTED_VALUE"""),FALSE)</f>
        <v>0</v>
      </c>
      <c r="K15" s="2" t="b">
        <f>IFERROR(__xludf.DUMMYFUNCTION("""COMPUTED_VALUE"""),FALSE)</f>
        <v>0</v>
      </c>
      <c r="L15" s="2" t="b">
        <f>IFERROR(__xludf.DUMMYFUNCTION("""COMPUTED_VALUE"""),FALSE)</f>
        <v>0</v>
      </c>
      <c r="M15" s="2" t="b">
        <f>IFERROR(__xludf.DUMMYFUNCTION("""COMPUTED_VALUE"""),FALSE)</f>
        <v>0</v>
      </c>
      <c r="N15" s="2" t="b">
        <f>IFERROR(__xludf.DUMMYFUNCTION("""COMPUTED_VALUE"""),FALSE)</f>
        <v>0</v>
      </c>
      <c r="O15" s="2" t="b">
        <f>IFERROR(__xludf.DUMMYFUNCTION("""COMPUTED_VALUE"""),FALSE)</f>
        <v>0</v>
      </c>
      <c r="P15" s="2" t="b">
        <f>IFERROR(__xludf.DUMMYFUNCTION("""COMPUTED_VALUE"""),FALSE)</f>
        <v>0</v>
      </c>
      <c r="Q15" s="2" t="b">
        <f>IFERROR(__xludf.DUMMYFUNCTION("""COMPUTED_VALUE"""),FALSE)</f>
        <v>0</v>
      </c>
      <c r="R15" s="2" t="b">
        <f>IFERROR(__xludf.DUMMYFUNCTION("""COMPUTED_VALUE"""),FALSE)</f>
        <v>0</v>
      </c>
      <c r="S15" s="2" t="b">
        <f>IFERROR(__xludf.DUMMYFUNCTION("""COMPUTED_VALUE"""),FALSE)</f>
        <v>0</v>
      </c>
      <c r="T15" s="2" t="b">
        <f>IFERROR(__xludf.DUMMYFUNCTION("""COMPUTED_VALUE"""),FALSE)</f>
        <v>0</v>
      </c>
      <c r="U15" s="2" t="b">
        <f>IFERROR(__xludf.DUMMYFUNCTION("""COMPUTED_VALUE"""),FALSE)</f>
        <v>0</v>
      </c>
      <c r="V15" s="2"/>
      <c r="W15" s="2"/>
      <c r="X15" s="2"/>
      <c r="Y15" s="2"/>
      <c r="Z15" s="2"/>
    </row>
    <row r="16">
      <c r="A16" s="2" t="str">
        <f>IFERROR(__xludf.DUMMYFUNCTION("""COMPUTED_VALUE"""),"Food Wagon")</f>
        <v>Food Wagon</v>
      </c>
      <c r="B16" s="2"/>
      <c r="C16" s="2" t="str">
        <f>IFERROR(__xludf.DUMMYFUNCTION("""COMPUTED_VALUE"""),"Shop")</f>
        <v>Shop</v>
      </c>
      <c r="D16" s="2" t="b">
        <f>IFERROR(__xludf.DUMMYFUNCTION("""COMPUTED_VALUE"""),TRUE)</f>
        <v>1</v>
      </c>
      <c r="E16" s="2">
        <f>IFERROR(__xludf.DUMMYFUNCTION("""COMPUTED_VALUE"""),200.0)</f>
        <v>200</v>
      </c>
      <c r="F16" s="2"/>
      <c r="G16" s="2" t="str">
        <f>IFERROR(__xludf.DUMMYFUNCTION("""COMPUTED_VALUE"""),"Gilder")</f>
        <v>Gilder</v>
      </c>
      <c r="H16" s="35">
        <f>IFERROR(__xludf.DUMMYFUNCTION("""COMPUTED_VALUE"""),1.0E7)</f>
        <v>10000000</v>
      </c>
      <c r="I16" s="2" t="b">
        <f>IFERROR(__xludf.DUMMYFUNCTION("""COMPUTED_VALUE"""),FALSE)</f>
        <v>0</v>
      </c>
      <c r="J16" s="2" t="b">
        <f>IFERROR(__xludf.DUMMYFUNCTION("""COMPUTED_VALUE"""),FALSE)</f>
        <v>0</v>
      </c>
      <c r="K16" s="2" t="b">
        <f>IFERROR(__xludf.DUMMYFUNCTION("""COMPUTED_VALUE"""),FALSE)</f>
        <v>0</v>
      </c>
      <c r="L16" s="2" t="b">
        <f>IFERROR(__xludf.DUMMYFUNCTION("""COMPUTED_VALUE"""),FALSE)</f>
        <v>0</v>
      </c>
      <c r="M16" s="2" t="b">
        <f>IFERROR(__xludf.DUMMYFUNCTION("""COMPUTED_VALUE"""),FALSE)</f>
        <v>0</v>
      </c>
      <c r="N16" s="2" t="b">
        <f>IFERROR(__xludf.DUMMYFUNCTION("""COMPUTED_VALUE"""),FALSE)</f>
        <v>0</v>
      </c>
      <c r="O16" s="2" t="b">
        <f>IFERROR(__xludf.DUMMYFUNCTION("""COMPUTED_VALUE"""),FALSE)</f>
        <v>0</v>
      </c>
      <c r="P16" s="2" t="b">
        <f>IFERROR(__xludf.DUMMYFUNCTION("""COMPUTED_VALUE"""),FALSE)</f>
        <v>0</v>
      </c>
      <c r="Q16" s="2" t="b">
        <f>IFERROR(__xludf.DUMMYFUNCTION("""COMPUTED_VALUE"""),FALSE)</f>
        <v>0</v>
      </c>
      <c r="R16" s="2" t="b">
        <f>IFERROR(__xludf.DUMMYFUNCTION("""COMPUTED_VALUE"""),FALSE)</f>
        <v>0</v>
      </c>
      <c r="S16" s="2" t="b">
        <f>IFERROR(__xludf.DUMMYFUNCTION("""COMPUTED_VALUE"""),FALSE)</f>
        <v>0</v>
      </c>
      <c r="T16" s="2" t="b">
        <f>IFERROR(__xludf.DUMMYFUNCTION("""COMPUTED_VALUE"""),FALSE)</f>
        <v>0</v>
      </c>
      <c r="U16" s="2" t="b">
        <f>IFERROR(__xludf.DUMMYFUNCTION("""COMPUTED_VALUE"""),FALSE)</f>
        <v>0</v>
      </c>
      <c r="V16" s="2"/>
      <c r="W16" s="2"/>
      <c r="X16" s="2"/>
      <c r="Y16" s="2"/>
      <c r="Z16" s="2"/>
    </row>
    <row r="17">
      <c r="A17" s="2" t="str">
        <f>IFERROR(__xludf.DUMMYFUNCTION("""COMPUTED_VALUE"""),"Standard Storefront")</f>
        <v>Standard Storefront</v>
      </c>
      <c r="B17" s="2"/>
      <c r="C17" s="2" t="str">
        <f>IFERROR(__xludf.DUMMYFUNCTION("""COMPUTED_VALUE"""),"Shop")</f>
        <v>Shop</v>
      </c>
      <c r="D17" s="2" t="b">
        <f>IFERROR(__xludf.DUMMYFUNCTION("""COMPUTED_VALUE"""),TRUE)</f>
        <v>1</v>
      </c>
      <c r="E17" s="2">
        <f>IFERROR(__xludf.DUMMYFUNCTION("""COMPUTED_VALUE"""),300.0)</f>
        <v>300</v>
      </c>
      <c r="F17" s="2"/>
      <c r="G17" s="2" t="str">
        <f>IFERROR(__xludf.DUMMYFUNCTION("""COMPUTED_VALUE"""),"Gilder")</f>
        <v>Gilder</v>
      </c>
      <c r="H17" s="35">
        <f>IFERROR(__xludf.DUMMYFUNCTION("""COMPUTED_VALUE"""),5.0E7)</f>
        <v>50000000</v>
      </c>
      <c r="I17" s="2" t="b">
        <f>IFERROR(__xludf.DUMMYFUNCTION("""COMPUTED_VALUE"""),FALSE)</f>
        <v>0</v>
      </c>
      <c r="J17" s="2" t="b">
        <f>IFERROR(__xludf.DUMMYFUNCTION("""COMPUTED_VALUE"""),FALSE)</f>
        <v>0</v>
      </c>
      <c r="K17" s="2" t="b">
        <f>IFERROR(__xludf.DUMMYFUNCTION("""COMPUTED_VALUE"""),FALSE)</f>
        <v>0</v>
      </c>
      <c r="L17" s="2" t="b">
        <f>IFERROR(__xludf.DUMMYFUNCTION("""COMPUTED_VALUE"""),FALSE)</f>
        <v>0</v>
      </c>
      <c r="M17" s="2" t="b">
        <f>IFERROR(__xludf.DUMMYFUNCTION("""COMPUTED_VALUE"""),FALSE)</f>
        <v>0</v>
      </c>
      <c r="N17" s="2" t="b">
        <f>IFERROR(__xludf.DUMMYFUNCTION("""COMPUTED_VALUE"""),FALSE)</f>
        <v>0</v>
      </c>
      <c r="O17" s="2" t="b">
        <f>IFERROR(__xludf.DUMMYFUNCTION("""COMPUTED_VALUE"""),FALSE)</f>
        <v>0</v>
      </c>
      <c r="P17" s="2" t="b">
        <f>IFERROR(__xludf.DUMMYFUNCTION("""COMPUTED_VALUE"""),FALSE)</f>
        <v>0</v>
      </c>
      <c r="Q17" s="2" t="b">
        <f>IFERROR(__xludf.DUMMYFUNCTION("""COMPUTED_VALUE"""),FALSE)</f>
        <v>0</v>
      </c>
      <c r="R17" s="2" t="b">
        <f>IFERROR(__xludf.DUMMYFUNCTION("""COMPUTED_VALUE"""),FALSE)</f>
        <v>0</v>
      </c>
      <c r="S17" s="2" t="b">
        <f>IFERROR(__xludf.DUMMYFUNCTION("""COMPUTED_VALUE"""),FALSE)</f>
        <v>0</v>
      </c>
      <c r="T17" s="2" t="b">
        <f>IFERROR(__xludf.DUMMYFUNCTION("""COMPUTED_VALUE"""),FALSE)</f>
        <v>0</v>
      </c>
      <c r="U17" s="2" t="b">
        <f>IFERROR(__xludf.DUMMYFUNCTION("""COMPUTED_VALUE"""),FALSE)</f>
        <v>0</v>
      </c>
      <c r="V17" s="2"/>
      <c r="W17" s="2"/>
      <c r="X17" s="2"/>
      <c r="Y17" s="2"/>
      <c r="Z17" s="2"/>
    </row>
    <row r="18">
      <c r="A18" s="2" t="str">
        <f>IFERROR(__xludf.DUMMYFUNCTION("""COMPUTED_VALUE"""),"Tavern")</f>
        <v>Tavern</v>
      </c>
      <c r="B18" s="2"/>
      <c r="C18" s="2" t="str">
        <f>IFERROR(__xludf.DUMMYFUNCTION("""COMPUTED_VALUE"""),"Shop")</f>
        <v>Shop</v>
      </c>
      <c r="D18" s="2" t="b">
        <f>IFERROR(__xludf.DUMMYFUNCTION("""COMPUTED_VALUE"""),TRUE)</f>
        <v>1</v>
      </c>
      <c r="E18" s="2">
        <f>IFERROR(__xludf.DUMMYFUNCTION("""COMPUTED_VALUE"""),400.0)</f>
        <v>400</v>
      </c>
      <c r="F18" s="2" t="str">
        <f>IFERROR(__xludf.DUMMYFUNCTION("""COMPUTED_VALUE"""),"Full Rest
Expanded Storage")</f>
        <v>Full Rest
Expanded Storage</v>
      </c>
      <c r="G18" s="2" t="str">
        <f>IFERROR(__xludf.DUMMYFUNCTION("""COMPUTED_VALUE"""),"Gilder")</f>
        <v>Gilder</v>
      </c>
      <c r="H18" s="35">
        <f>IFERROR(__xludf.DUMMYFUNCTION("""COMPUTED_VALUE"""),1.0E8)</f>
        <v>100000000</v>
      </c>
      <c r="I18" s="2" t="b">
        <f>IFERROR(__xludf.DUMMYFUNCTION("""COMPUTED_VALUE"""),FALSE)</f>
        <v>0</v>
      </c>
      <c r="J18" s="2" t="b">
        <f>IFERROR(__xludf.DUMMYFUNCTION("""COMPUTED_VALUE"""),FALSE)</f>
        <v>0</v>
      </c>
      <c r="K18" s="2" t="b">
        <f>IFERROR(__xludf.DUMMYFUNCTION("""COMPUTED_VALUE"""),FALSE)</f>
        <v>0</v>
      </c>
      <c r="L18" s="2" t="b">
        <f>IFERROR(__xludf.DUMMYFUNCTION("""COMPUTED_VALUE"""),TRUE)</f>
        <v>1</v>
      </c>
      <c r="M18" s="2" t="b">
        <f>IFERROR(__xludf.DUMMYFUNCTION("""COMPUTED_VALUE"""),FALSE)</f>
        <v>0</v>
      </c>
      <c r="N18" s="2" t="b">
        <f>IFERROR(__xludf.DUMMYFUNCTION("""COMPUTED_VALUE"""),FALSE)</f>
        <v>0</v>
      </c>
      <c r="O18" s="2" t="b">
        <f>IFERROR(__xludf.DUMMYFUNCTION("""COMPUTED_VALUE"""),TRUE)</f>
        <v>1</v>
      </c>
      <c r="P18" s="2" t="b">
        <f>IFERROR(__xludf.DUMMYFUNCTION("""COMPUTED_VALUE"""),FALSE)</f>
        <v>0</v>
      </c>
      <c r="Q18" s="2" t="b">
        <f>IFERROR(__xludf.DUMMYFUNCTION("""COMPUTED_VALUE"""),FALSE)</f>
        <v>0</v>
      </c>
      <c r="R18" s="2" t="b">
        <f>IFERROR(__xludf.DUMMYFUNCTION("""COMPUTED_VALUE"""),FALSE)</f>
        <v>0</v>
      </c>
      <c r="S18" s="2" t="b">
        <f>IFERROR(__xludf.DUMMYFUNCTION("""COMPUTED_VALUE"""),FALSE)</f>
        <v>0</v>
      </c>
      <c r="T18" s="2" t="b">
        <f>IFERROR(__xludf.DUMMYFUNCTION("""COMPUTED_VALUE"""),FALSE)</f>
        <v>0</v>
      </c>
      <c r="U18" s="2" t="b">
        <f>IFERROR(__xludf.DUMMYFUNCTION("""COMPUTED_VALUE"""),FALSE)</f>
        <v>0</v>
      </c>
      <c r="V18" s="2"/>
      <c r="W18" s="2"/>
      <c r="X18" s="2"/>
      <c r="Y18" s="2"/>
      <c r="Z18" s="2"/>
    </row>
    <row r="19">
      <c r="A19" s="2" t="str">
        <f>IFERROR(__xludf.DUMMYFUNCTION("""COMPUTED_VALUE"""),"Premium Storefront")</f>
        <v>Premium Storefront</v>
      </c>
      <c r="B19" s="2"/>
      <c r="C19" s="2" t="str">
        <f>IFERROR(__xludf.DUMMYFUNCTION("""COMPUTED_VALUE"""),"Shop")</f>
        <v>Shop</v>
      </c>
      <c r="D19" s="2" t="b">
        <f>IFERROR(__xludf.DUMMYFUNCTION("""COMPUTED_VALUE"""),TRUE)</f>
        <v>1</v>
      </c>
      <c r="E19" s="2">
        <f>IFERROR(__xludf.DUMMYFUNCTION("""COMPUTED_VALUE"""),500.0)</f>
        <v>500</v>
      </c>
      <c r="F19" s="2" t="str">
        <f>IFERROR(__xludf.DUMMYFUNCTION("""COMPUTED_VALUE"""),"Anti-Burglary Protection
Expanded Storage")</f>
        <v>Anti-Burglary Protection
Expanded Storage</v>
      </c>
      <c r="G19" s="2" t="str">
        <f>IFERROR(__xludf.DUMMYFUNCTION("""COMPUTED_VALUE"""),"Gilder")</f>
        <v>Gilder</v>
      </c>
      <c r="H19" s="35">
        <f>IFERROR(__xludf.DUMMYFUNCTION("""COMPUTED_VALUE"""),2.5E8)</f>
        <v>250000000</v>
      </c>
      <c r="I19" s="2" t="b">
        <f>IFERROR(__xludf.DUMMYFUNCTION("""COMPUTED_VALUE"""),FALSE)</f>
        <v>0</v>
      </c>
      <c r="J19" s="2" t="b">
        <f>IFERROR(__xludf.DUMMYFUNCTION("""COMPUTED_VALUE"""),FALSE)</f>
        <v>0</v>
      </c>
      <c r="K19" s="2" t="b">
        <f>IFERROR(__xludf.DUMMYFUNCTION("""COMPUTED_VALUE"""),FALSE)</f>
        <v>0</v>
      </c>
      <c r="L19" s="2" t="b">
        <f>IFERROR(__xludf.DUMMYFUNCTION("""COMPUTED_VALUE"""),TRUE)</f>
        <v>1</v>
      </c>
      <c r="M19" s="2" t="b">
        <f>IFERROR(__xludf.DUMMYFUNCTION("""COMPUTED_VALUE"""),FALSE)</f>
        <v>0</v>
      </c>
      <c r="N19" s="2" t="b">
        <f>IFERROR(__xludf.DUMMYFUNCTION("""COMPUTED_VALUE"""),TRUE)</f>
        <v>1</v>
      </c>
      <c r="O19" s="2" t="b">
        <f>IFERROR(__xludf.DUMMYFUNCTION("""COMPUTED_VALUE"""),FALSE)</f>
        <v>0</v>
      </c>
      <c r="P19" s="2" t="b">
        <f>IFERROR(__xludf.DUMMYFUNCTION("""COMPUTED_VALUE"""),FALSE)</f>
        <v>0</v>
      </c>
      <c r="Q19" s="2" t="b">
        <f>IFERROR(__xludf.DUMMYFUNCTION("""COMPUTED_VALUE"""),FALSE)</f>
        <v>0</v>
      </c>
      <c r="R19" s="2" t="b">
        <f>IFERROR(__xludf.DUMMYFUNCTION("""COMPUTED_VALUE"""),FALSE)</f>
        <v>0</v>
      </c>
      <c r="S19" s="2" t="b">
        <f>IFERROR(__xludf.DUMMYFUNCTION("""COMPUTED_VALUE"""),FALSE)</f>
        <v>0</v>
      </c>
      <c r="T19" s="2" t="b">
        <f>IFERROR(__xludf.DUMMYFUNCTION("""COMPUTED_VALUE"""),FALSE)</f>
        <v>0</v>
      </c>
      <c r="U19" s="2" t="b">
        <f>IFERROR(__xludf.DUMMYFUNCTION("""COMPUTED_VALUE"""),FALSE)</f>
        <v>0</v>
      </c>
      <c r="V19" s="2"/>
      <c r="W19" s="2"/>
      <c r="X19" s="2"/>
      <c r="Y19" s="2"/>
      <c r="Z19" s="2"/>
    </row>
    <row r="20">
      <c r="A20" s="2" t="str">
        <f>IFERROR(__xludf.DUMMYFUNCTION("""COMPUTED_VALUE"""),"Cookshop")</f>
        <v>Cookshop</v>
      </c>
      <c r="B20" s="2"/>
      <c r="C20" s="2" t="str">
        <f>IFERROR(__xludf.DUMMYFUNCTION("""COMPUTED_VALUE"""),"Shop")</f>
        <v>Shop</v>
      </c>
      <c r="D20" s="2" t="b">
        <f>IFERROR(__xludf.DUMMYFUNCTION("""COMPUTED_VALUE"""),TRUE)</f>
        <v>1</v>
      </c>
      <c r="E20" s="2">
        <f>IFERROR(__xludf.DUMMYFUNCTION("""COMPUTED_VALUE"""),750.0)</f>
        <v>750</v>
      </c>
      <c r="F20" s="2" t="str">
        <f>IFERROR(__xludf.DUMMYFUNCTION("""COMPUTED_VALUE"""),"Full Rest
Expanded Storage 2")</f>
        <v>Full Rest
Expanded Storage 2</v>
      </c>
      <c r="G20" s="2" t="str">
        <f>IFERROR(__xludf.DUMMYFUNCTION("""COMPUTED_VALUE"""),"Gilder")</f>
        <v>Gilder</v>
      </c>
      <c r="H20" s="35">
        <f>IFERROR(__xludf.DUMMYFUNCTION("""COMPUTED_VALUE"""),5.0E8)</f>
        <v>500000000</v>
      </c>
      <c r="I20" s="2" t="b">
        <f>IFERROR(__xludf.DUMMYFUNCTION("""COMPUTED_VALUE"""),FALSE)</f>
        <v>0</v>
      </c>
      <c r="J20" s="2" t="b">
        <f>IFERROR(__xludf.DUMMYFUNCTION("""COMPUTED_VALUE"""),FALSE)</f>
        <v>0</v>
      </c>
      <c r="K20" s="2" t="b">
        <f>IFERROR(__xludf.DUMMYFUNCTION("""COMPUTED_VALUE"""),FALSE)</f>
        <v>0</v>
      </c>
      <c r="L20" s="2" t="b">
        <f>IFERROR(__xludf.DUMMYFUNCTION("""COMPUTED_VALUE"""),FALSE)</f>
        <v>0</v>
      </c>
      <c r="M20" s="2" t="b">
        <f>IFERROR(__xludf.DUMMYFUNCTION("""COMPUTED_VALUE"""),TRUE)</f>
        <v>1</v>
      </c>
      <c r="N20" s="2" t="b">
        <f>IFERROR(__xludf.DUMMYFUNCTION("""COMPUTED_VALUE"""),FALSE)</f>
        <v>0</v>
      </c>
      <c r="O20" s="2" t="b">
        <f>IFERROR(__xludf.DUMMYFUNCTION("""COMPUTED_VALUE"""),TRUE)</f>
        <v>1</v>
      </c>
      <c r="P20" s="2" t="b">
        <f>IFERROR(__xludf.DUMMYFUNCTION("""COMPUTED_VALUE"""),FALSE)</f>
        <v>0</v>
      </c>
      <c r="Q20" s="2" t="b">
        <f>IFERROR(__xludf.DUMMYFUNCTION("""COMPUTED_VALUE"""),FALSE)</f>
        <v>0</v>
      </c>
      <c r="R20" s="2" t="b">
        <f>IFERROR(__xludf.DUMMYFUNCTION("""COMPUTED_VALUE"""),FALSE)</f>
        <v>0</v>
      </c>
      <c r="S20" s="2" t="b">
        <f>IFERROR(__xludf.DUMMYFUNCTION("""COMPUTED_VALUE"""),FALSE)</f>
        <v>0</v>
      </c>
      <c r="T20" s="2" t="b">
        <f>IFERROR(__xludf.DUMMYFUNCTION("""COMPUTED_VALUE"""),FALSE)</f>
        <v>0</v>
      </c>
      <c r="U20" s="2" t="b">
        <f>IFERROR(__xludf.DUMMYFUNCTION("""COMPUTED_VALUE"""),FALSE)</f>
        <v>0</v>
      </c>
      <c r="V20" s="2"/>
      <c r="W20" s="2"/>
      <c r="X20" s="2"/>
      <c r="Y20" s="2"/>
      <c r="Z20" s="2"/>
    </row>
    <row r="21">
      <c r="A21" s="2" t="str">
        <f>IFERROR(__xludf.DUMMYFUNCTION("""COMPUTED_VALUE"""),"Merchant Warehouse")</f>
        <v>Merchant Warehouse</v>
      </c>
      <c r="B21" s="2"/>
      <c r="C21" s="2" t="str">
        <f>IFERROR(__xludf.DUMMYFUNCTION("""COMPUTED_VALUE"""),"Shop")</f>
        <v>Shop</v>
      </c>
      <c r="D21" s="2" t="b">
        <f>IFERROR(__xludf.DUMMYFUNCTION("""COMPUTED_VALUE"""),TRUE)</f>
        <v>1</v>
      </c>
      <c r="E21" s="2">
        <f>IFERROR(__xludf.DUMMYFUNCTION("""COMPUTED_VALUE"""),1000.0)</f>
        <v>1000</v>
      </c>
      <c r="F21" s="2" t="str">
        <f>IFERROR(__xludf.DUMMYFUNCTION("""COMPUTED_VALUE"""),"Security Guard
Expanded Storage 2")</f>
        <v>Security Guard
Expanded Storage 2</v>
      </c>
      <c r="G21" s="2" t="str">
        <f>IFERROR(__xludf.DUMMYFUNCTION("""COMPUTED_VALUE"""),"Gilder")</f>
        <v>Gilder</v>
      </c>
      <c r="H21" s="35">
        <f>IFERROR(__xludf.DUMMYFUNCTION("""COMPUTED_VALUE"""),1.0E9)</f>
        <v>1000000000</v>
      </c>
      <c r="I21" s="2" t="b">
        <f>IFERROR(__xludf.DUMMYFUNCTION("""COMPUTED_VALUE"""),FALSE)</f>
        <v>0</v>
      </c>
      <c r="J21" s="2" t="b">
        <f>IFERROR(__xludf.DUMMYFUNCTION("""COMPUTED_VALUE"""),FALSE)</f>
        <v>0</v>
      </c>
      <c r="K21" s="2" t="b">
        <f>IFERROR(__xludf.DUMMYFUNCTION("""COMPUTED_VALUE"""),FALSE)</f>
        <v>0</v>
      </c>
      <c r="L21" s="2" t="b">
        <f>IFERROR(__xludf.DUMMYFUNCTION("""COMPUTED_VALUE"""),FALSE)</f>
        <v>0</v>
      </c>
      <c r="M21" s="2" t="b">
        <f>IFERROR(__xludf.DUMMYFUNCTION("""COMPUTED_VALUE"""),TRUE)</f>
        <v>1</v>
      </c>
      <c r="N21" s="2" t="b">
        <f>IFERROR(__xludf.DUMMYFUNCTION("""COMPUTED_VALUE"""),FALSE)</f>
        <v>0</v>
      </c>
      <c r="O21" s="2" t="b">
        <f>IFERROR(__xludf.DUMMYFUNCTION("""COMPUTED_VALUE"""),FALSE)</f>
        <v>0</v>
      </c>
      <c r="P21" s="2" t="b">
        <f>IFERROR(__xludf.DUMMYFUNCTION("""COMPUTED_VALUE"""),TRUE)</f>
        <v>1</v>
      </c>
      <c r="Q21" s="2" t="b">
        <f>IFERROR(__xludf.DUMMYFUNCTION("""COMPUTED_VALUE"""),FALSE)</f>
        <v>0</v>
      </c>
      <c r="R21" s="2" t="b">
        <f>IFERROR(__xludf.DUMMYFUNCTION("""COMPUTED_VALUE"""),FALSE)</f>
        <v>0</v>
      </c>
      <c r="S21" s="2" t="b">
        <f>IFERROR(__xludf.DUMMYFUNCTION("""COMPUTED_VALUE"""),FALSE)</f>
        <v>0</v>
      </c>
      <c r="T21" s="2" t="b">
        <f>IFERROR(__xludf.DUMMYFUNCTION("""COMPUTED_VALUE"""),FALSE)</f>
        <v>0</v>
      </c>
      <c r="U21" s="2" t="b">
        <f>IFERROR(__xludf.DUMMYFUNCTION("""COMPUTED_VALUE"""),FALSE)</f>
        <v>0</v>
      </c>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conditionalFormatting sqref="I2:U21">
    <cfRule type="containsText" dxfId="1" priority="1" operator="containsText" text="TRUE">
      <formula>NOT(ISERROR(SEARCH(("TRUE"),(I2))))</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 customWidth="1" min="2" max="2" width="114.25"/>
    <col customWidth="1" min="3" max="3" width="13.0"/>
  </cols>
  <sheetData>
    <row r="1">
      <c r="A1" s="2" t="str">
        <f>IFERROR(__xludf.DUMMYFUNCTION("IMPORTRANGE(""https://docs.google.com/spreadsheets/d/1g_AeDkwsPncYqeTMHcCDZCjj6wqB0sW_-miBSQqz6gk"",""HousingServices!A:Z"")"),"Services Provided")</f>
        <v>Services Provided</v>
      </c>
      <c r="B1" s="2" t="str">
        <f>IFERROR(__xludf.DUMMYFUNCTION("""COMPUTED_VALUE"""),"Description")</f>
        <v>Description</v>
      </c>
      <c r="C1" s="2" t="str">
        <f>IFERROR(__xludf.DUMMYFUNCTION("""COMPUTED_VALUE"""),"Cost")</f>
        <v>Cost</v>
      </c>
      <c r="D1" s="2"/>
      <c r="E1" s="2"/>
      <c r="F1" s="2"/>
      <c r="G1" s="2"/>
      <c r="H1" s="2"/>
      <c r="I1" s="2"/>
      <c r="J1" s="2"/>
      <c r="K1" s="2"/>
      <c r="L1" s="2"/>
      <c r="M1" s="2"/>
      <c r="N1" s="2"/>
      <c r="O1" s="2"/>
      <c r="P1" s="2"/>
      <c r="Q1" s="2"/>
      <c r="R1" s="2"/>
      <c r="S1" s="2"/>
      <c r="T1" s="2"/>
      <c r="U1" s="2"/>
      <c r="V1" s="2"/>
      <c r="W1" s="2"/>
      <c r="X1" s="2"/>
      <c r="Y1" s="2"/>
      <c r="Z1" s="2"/>
    </row>
    <row r="2">
      <c r="A2" s="2" t="str">
        <f>IFERROR(__xludf.DUMMYFUNCTION("""COMPUTED_VALUE"""),"Additional Storage")</f>
        <v>Additional Storage</v>
      </c>
      <c r="B2" s="2" t="str">
        <f>IFERROR(__xludf.DUMMYFUNCTION("""COMPUTED_VALUE"""),"Your homes storage limit is increased by 50")</f>
        <v>Your homes storage limit is increased by 50</v>
      </c>
      <c r="C2" s="16">
        <f>IFERROR(__xludf.DUMMYFUNCTION("""COMPUTED_VALUE"""),5000000.0)</f>
        <v>5000000</v>
      </c>
      <c r="D2" s="2"/>
      <c r="E2" s="2"/>
      <c r="F2" s="2"/>
      <c r="G2" s="2"/>
      <c r="H2" s="2"/>
      <c r="I2" s="2"/>
      <c r="J2" s="2"/>
      <c r="K2" s="2"/>
      <c r="L2" s="2"/>
      <c r="M2" s="2"/>
      <c r="N2" s="2"/>
      <c r="O2" s="2"/>
      <c r="P2" s="2"/>
      <c r="Q2" s="2"/>
      <c r="R2" s="2"/>
      <c r="S2" s="2"/>
      <c r="T2" s="2"/>
      <c r="U2" s="2"/>
      <c r="V2" s="2"/>
      <c r="W2" s="2"/>
      <c r="X2" s="2"/>
      <c r="Y2" s="2"/>
      <c r="Z2" s="2"/>
    </row>
    <row r="3">
      <c r="A3" s="2" t="str">
        <f>IFERROR(__xludf.DUMMYFUNCTION("""COMPUTED_VALUE"""),"Additional Storage 2")</f>
        <v>Additional Storage 2</v>
      </c>
      <c r="B3" s="2" t="str">
        <f>IFERROR(__xludf.DUMMYFUNCTION("""COMPUTED_VALUE"""),"Your homes storage limit is increased by 100")</f>
        <v>Your homes storage limit is increased by 100</v>
      </c>
      <c r="C3" s="16">
        <f>IFERROR(__xludf.DUMMYFUNCTION("""COMPUTED_VALUE"""),1.0E7)</f>
        <v>10000000</v>
      </c>
      <c r="D3" s="2"/>
      <c r="E3" s="2"/>
      <c r="F3" s="2"/>
      <c r="G3" s="2"/>
      <c r="H3" s="2"/>
      <c r="I3" s="2"/>
      <c r="J3" s="2"/>
      <c r="K3" s="2"/>
      <c r="L3" s="2"/>
      <c r="M3" s="2"/>
      <c r="N3" s="2"/>
      <c r="O3" s="2"/>
      <c r="P3" s="2"/>
      <c r="Q3" s="2"/>
      <c r="R3" s="2"/>
      <c r="S3" s="2"/>
      <c r="T3" s="2"/>
      <c r="U3" s="2"/>
      <c r="V3" s="2"/>
      <c r="W3" s="2"/>
      <c r="X3" s="2"/>
      <c r="Y3" s="2"/>
      <c r="Z3" s="2"/>
    </row>
    <row r="4">
      <c r="A4" s="2" t="str">
        <f>IFERROR(__xludf.DUMMYFUNCTION("""COMPUTED_VALUE"""),"Additional Storage 3")</f>
        <v>Additional Storage 3</v>
      </c>
      <c r="B4" s="2" t="str">
        <f>IFERROR(__xludf.DUMMYFUNCTION("""COMPUTED_VALUE"""),"Your homes storage limit is increased by 150")</f>
        <v>Your homes storage limit is increased by 150</v>
      </c>
      <c r="C4" s="16">
        <f>IFERROR(__xludf.DUMMYFUNCTION("""COMPUTED_VALUE"""),5.0E7)</f>
        <v>50000000</v>
      </c>
      <c r="D4" s="2"/>
      <c r="E4" s="2"/>
      <c r="F4" s="2"/>
      <c r="G4" s="2"/>
      <c r="H4" s="2"/>
      <c r="I4" s="2"/>
      <c r="J4" s="2"/>
      <c r="K4" s="2"/>
      <c r="L4" s="2"/>
      <c r="M4" s="2"/>
      <c r="N4" s="2"/>
      <c r="O4" s="2"/>
      <c r="P4" s="2"/>
      <c r="Q4" s="2"/>
      <c r="R4" s="2"/>
      <c r="S4" s="2"/>
      <c r="T4" s="2"/>
      <c r="U4" s="2"/>
      <c r="V4" s="2"/>
      <c r="W4" s="2"/>
      <c r="X4" s="2"/>
      <c r="Y4" s="2"/>
      <c r="Z4" s="2"/>
    </row>
    <row r="5">
      <c r="A5" s="2" t="str">
        <f>IFERROR(__xludf.DUMMYFUNCTION("""COMPUTED_VALUE"""),"Expanded Storage")</f>
        <v>Expanded Storage</v>
      </c>
      <c r="B5" s="2" t="str">
        <f>IFERROR(__xludf.DUMMYFUNCTION("""COMPUTED_VALUE"""),"Your homes storage limit is increased by 200")</f>
        <v>Your homes storage limit is increased by 200</v>
      </c>
      <c r="C5" s="16">
        <f>IFERROR(__xludf.DUMMYFUNCTION("""COMPUTED_VALUE"""),1.0E8)</f>
        <v>100000000</v>
      </c>
      <c r="D5" s="2"/>
      <c r="E5" s="2"/>
      <c r="F5" s="2"/>
      <c r="G5" s="2"/>
      <c r="H5" s="2"/>
      <c r="I5" s="2"/>
      <c r="J5" s="2"/>
      <c r="K5" s="2"/>
      <c r="L5" s="2"/>
      <c r="M5" s="2"/>
      <c r="N5" s="2"/>
      <c r="O5" s="2"/>
      <c r="P5" s="2"/>
      <c r="Q5" s="2"/>
      <c r="R5" s="2"/>
      <c r="S5" s="2"/>
      <c r="T5" s="2"/>
      <c r="U5" s="2"/>
      <c r="V5" s="2"/>
      <c r="W5" s="2"/>
      <c r="X5" s="2"/>
      <c r="Y5" s="2"/>
      <c r="Z5" s="2"/>
    </row>
    <row r="6">
      <c r="A6" s="2" t="str">
        <f>IFERROR(__xludf.DUMMYFUNCTION("""COMPUTED_VALUE"""),"Expanded Storage 2")</f>
        <v>Expanded Storage 2</v>
      </c>
      <c r="B6" s="2" t="str">
        <f>IFERROR(__xludf.DUMMYFUNCTION("""COMPUTED_VALUE"""),"Your homes storage limit is increased by 300")</f>
        <v>Your homes storage limit is increased by 300</v>
      </c>
      <c r="C6" s="16">
        <f>IFERROR(__xludf.DUMMYFUNCTION("""COMPUTED_VALUE"""),2.5E8)</f>
        <v>250000000</v>
      </c>
      <c r="D6" s="2"/>
      <c r="E6" s="2"/>
      <c r="F6" s="2"/>
      <c r="G6" s="2"/>
      <c r="H6" s="2"/>
      <c r="I6" s="2"/>
      <c r="J6" s="2"/>
      <c r="K6" s="2"/>
      <c r="L6" s="2"/>
      <c r="M6" s="2"/>
      <c r="N6" s="2"/>
      <c r="O6" s="2"/>
      <c r="P6" s="2"/>
      <c r="Q6" s="2"/>
      <c r="R6" s="2"/>
      <c r="S6" s="2"/>
      <c r="T6" s="2"/>
      <c r="U6" s="2"/>
      <c r="V6" s="2"/>
      <c r="W6" s="2"/>
      <c r="X6" s="2"/>
      <c r="Y6" s="2"/>
      <c r="Z6" s="2"/>
    </row>
    <row r="7">
      <c r="A7" s="2" t="str">
        <f>IFERROR(__xludf.DUMMYFUNCTION("""COMPUTED_VALUE"""),"Anti-Burglary Protection")</f>
        <v>Anti-Burglary Protection</v>
      </c>
      <c r="B7" s="2" t="str">
        <f>IFERROR(__xludf.DUMMYFUNCTION("""COMPUTED_VALUE"""),"Will alert gaurds when someone steals from your shop/home")</f>
        <v>Will alert gaurds when someone steals from your shop/home</v>
      </c>
      <c r="C7" s="16">
        <f>IFERROR(__xludf.DUMMYFUNCTION("""COMPUTED_VALUE"""),5.0E8)</f>
        <v>500000000</v>
      </c>
      <c r="D7" s="2"/>
      <c r="E7" s="2"/>
      <c r="F7" s="2"/>
      <c r="G7" s="2"/>
      <c r="H7" s="2"/>
      <c r="I7" s="2"/>
      <c r="J7" s="2"/>
      <c r="K7" s="2"/>
      <c r="L7" s="2"/>
      <c r="M7" s="2"/>
      <c r="N7" s="2"/>
      <c r="O7" s="2"/>
      <c r="P7" s="2"/>
      <c r="Q7" s="2"/>
      <c r="R7" s="2"/>
      <c r="S7" s="2"/>
      <c r="T7" s="2"/>
      <c r="U7" s="2"/>
      <c r="V7" s="2"/>
      <c r="W7" s="2"/>
      <c r="X7" s="2"/>
      <c r="Y7" s="2"/>
      <c r="Z7" s="2"/>
    </row>
    <row r="8">
      <c r="A8" s="2" t="str">
        <f>IFERROR(__xludf.DUMMYFUNCTION("""COMPUTED_VALUE"""),"Full Rest")</f>
        <v>Full Rest</v>
      </c>
      <c r="B8" s="2" t="str">
        <f>IFERROR(__xludf.DUMMYFUNCTION("""COMPUTED_VALUE"""),"Restores all stats when you or a player visits your shop or home (Does not include intruders)")</f>
        <v>Restores all stats when you or a player visits your shop or home (Does not include intruders)</v>
      </c>
      <c r="C8" s="16">
        <f>IFERROR(__xludf.DUMMYFUNCTION("""COMPUTED_VALUE"""),7.5E8)</f>
        <v>750000000</v>
      </c>
      <c r="D8" s="2"/>
      <c r="E8" s="2"/>
      <c r="F8" s="2"/>
      <c r="G8" s="2"/>
      <c r="H8" s="2"/>
      <c r="I8" s="2"/>
      <c r="J8" s="2"/>
      <c r="K8" s="2"/>
      <c r="L8" s="2"/>
      <c r="M8" s="2"/>
      <c r="N8" s="2"/>
      <c r="O8" s="2"/>
      <c r="P8" s="2"/>
      <c r="Q8" s="2"/>
      <c r="R8" s="2"/>
      <c r="S8" s="2"/>
      <c r="T8" s="2"/>
      <c r="U8" s="2"/>
      <c r="V8" s="2"/>
      <c r="W8" s="2"/>
      <c r="X8" s="2"/>
      <c r="Y8" s="2"/>
      <c r="Z8" s="2"/>
    </row>
    <row r="9">
      <c r="A9" s="2" t="str">
        <f>IFERROR(__xludf.DUMMYFUNCTION("""COMPUTED_VALUE"""),"Security Guard")</f>
        <v>Security Guard</v>
      </c>
      <c r="B9" s="2" t="str">
        <f>IFERROR(__xludf.DUMMYFUNCTION("""COMPUTED_VALUE"""),"One standard guard will protect and secure your home/shop from criminals")</f>
        <v>One standard guard will protect and secure your home/shop from criminals</v>
      </c>
      <c r="C9" s="16">
        <f>IFERROR(__xludf.DUMMYFUNCTION("""COMPUTED_VALUE"""),1.0E9)</f>
        <v>1000000000</v>
      </c>
      <c r="D9" s="2"/>
      <c r="E9" s="2"/>
      <c r="F9" s="2"/>
      <c r="G9" s="2"/>
      <c r="H9" s="2"/>
      <c r="I9" s="2"/>
      <c r="J9" s="2"/>
      <c r="K9" s="2"/>
      <c r="L9" s="2"/>
      <c r="M9" s="2"/>
      <c r="N9" s="2"/>
      <c r="O9" s="2"/>
      <c r="P9" s="2"/>
      <c r="Q9" s="2"/>
      <c r="R9" s="2"/>
      <c r="S9" s="2"/>
      <c r="T9" s="2"/>
      <c r="U9" s="2"/>
      <c r="V9" s="2"/>
      <c r="W9" s="2"/>
      <c r="X9" s="2"/>
      <c r="Y9" s="2"/>
      <c r="Z9" s="2"/>
    </row>
    <row r="10">
      <c r="A10" s="2" t="str">
        <f>IFERROR(__xludf.DUMMYFUNCTION("""COMPUTED_VALUE"""),"Personal In-House Cookshop")</f>
        <v>Personal In-House Cookshop</v>
      </c>
      <c r="B10" s="2" t="str">
        <f>IFERROR(__xludf.DUMMYFUNCTION("""COMPUTED_VALUE"""),"Will cook food into meals with bonuses without fail.
Each food item(s) value. if the item(s) do not have an value add 100,000G to the cost for each food item that does not have a value.")</f>
        <v>Will cook food into meals with bonuses without fail.
Each food item(s) value. if the item(s) do not have an value add 100,000G to the cost for each food item that does not have a value.</v>
      </c>
      <c r="C10" s="16">
        <f>IFERROR(__xludf.DUMMYFUNCTION("""COMPUTED_VALUE"""),1.0E8)</f>
        <v>100000000</v>
      </c>
      <c r="D10" s="2"/>
      <c r="E10" s="2"/>
      <c r="F10" s="2"/>
      <c r="G10" s="2"/>
      <c r="H10" s="2"/>
      <c r="I10" s="2"/>
      <c r="J10" s="2"/>
      <c r="K10" s="2"/>
      <c r="L10" s="2"/>
      <c r="M10" s="2"/>
      <c r="N10" s="2"/>
      <c r="O10" s="2"/>
      <c r="P10" s="2"/>
      <c r="Q10" s="2"/>
      <c r="R10" s="2"/>
      <c r="S10" s="2"/>
      <c r="T10" s="2"/>
      <c r="U10" s="2"/>
      <c r="V10" s="2"/>
      <c r="W10" s="2"/>
      <c r="X10" s="2"/>
      <c r="Y10" s="2"/>
      <c r="Z10" s="2"/>
    </row>
    <row r="11">
      <c r="A11" s="2" t="str">
        <f>IFERROR(__xludf.DUMMYFUNCTION("""COMPUTED_VALUE"""),"Personal In-House Blacksmithery")</f>
        <v>Personal In-House Blacksmithery</v>
      </c>
      <c r="B11" s="2" t="str">
        <f>IFERROR(__xludf.DUMMYFUNCTION("""COMPUTED_VALUE"""),"Will forge items for you without fail.
25% of each item(s) estimated value. if the item(s) do not have an estimated value add 1,000,000--cointype-- to the cost for each item that does not have a value.
The Blacksmith's NPC Level is equal to the combined"&amp;" levels of the 2 items you want forged divided by 2.
Any items that have a forge amount of 5 or more cannot be forged at the Blacksmith town service.")</f>
        <v>Will forge items for you without fail.
25% of each item(s) estimated value. if the item(s) do not have an estimated value add 1,000,000--cointype-- to the cost for each item that does not have a value.
The Blacksmith's NPC Level is equal to the combined levels of the 2 items you want forged divided by 2.
Any items that have a forge amount of 5 or more cannot be forged at the Blacksmith town service.</v>
      </c>
      <c r="C11" s="16">
        <f>IFERROR(__xludf.DUMMYFUNCTION("""COMPUTED_VALUE"""),1.0E8)</f>
        <v>100000000</v>
      </c>
      <c r="D11" s="2"/>
      <c r="E11" s="2"/>
      <c r="F11" s="2"/>
      <c r="G11" s="2"/>
      <c r="H11" s="2"/>
      <c r="I11" s="2"/>
      <c r="J11" s="2"/>
      <c r="K11" s="2"/>
      <c r="L11" s="2"/>
      <c r="M11" s="2"/>
      <c r="N11" s="2"/>
      <c r="O11" s="2"/>
      <c r="P11" s="2"/>
      <c r="Q11" s="2"/>
      <c r="R11" s="2"/>
      <c r="S11" s="2"/>
      <c r="T11" s="2"/>
      <c r="U11" s="2"/>
      <c r="V11" s="2"/>
      <c r="W11" s="2"/>
      <c r="X11" s="2"/>
      <c r="Y11" s="2"/>
      <c r="Z11" s="2"/>
    </row>
    <row r="12">
      <c r="A12" s="2" t="str">
        <f>IFERROR(__xludf.DUMMYFUNCTION("""COMPUTED_VALUE"""),"Personal In-House Alchemy Brewing Station")</f>
        <v>Personal In-House Alchemy Brewing Station</v>
      </c>
      <c r="B12" s="2" t="str">
        <f>IFERROR(__xludf.DUMMYFUNCTION("""COMPUTED_VALUE"""),"Will brew items without fail.
25% of each potions, and herbs value. if the potions and herbs do not have an value add 1,000,000G to the cost for each item that does not have a value.")</f>
        <v>Will brew items without fail.
25% of each potions, and herbs value. if the potions and herbs do not have an value add 1,000,000G to the cost for each item that does not have a value.</v>
      </c>
      <c r="C12" s="16">
        <f>IFERROR(__xludf.DUMMYFUNCTION("""COMPUTED_VALUE"""),1.0E8)</f>
        <v>100000000</v>
      </c>
      <c r="D12" s="2"/>
      <c r="E12" s="2"/>
      <c r="F12" s="2"/>
      <c r="G12" s="2"/>
      <c r="H12" s="2"/>
      <c r="I12" s="2"/>
      <c r="J12" s="2"/>
      <c r="K12" s="2"/>
      <c r="L12" s="2"/>
      <c r="M12" s="2"/>
      <c r="N12" s="2"/>
      <c r="O12" s="2"/>
      <c r="P12" s="2"/>
      <c r="Q12" s="2"/>
      <c r="R12" s="2"/>
      <c r="S12" s="2"/>
      <c r="T12" s="2"/>
      <c r="U12" s="2"/>
      <c r="V12" s="2"/>
      <c r="W12" s="2"/>
      <c r="X12" s="2"/>
      <c r="Y12" s="2"/>
      <c r="Z12" s="2"/>
    </row>
    <row r="13">
      <c r="A13" s="2" t="str">
        <f>IFERROR(__xludf.DUMMYFUNCTION("""COMPUTED_VALUE"""),"Personal In-House Enchanting table")</f>
        <v>Personal In-House Enchanting table</v>
      </c>
      <c r="B13" s="2" t="str">
        <f>IFERROR(__xludf.DUMMYFUNCTION("""COMPUTED_VALUE"""),"Will enchant items for you without fail.
50,000,000G per enchantment.")</f>
        <v>Will enchant items for you without fail.
50,000,000G per enchantment.</v>
      </c>
      <c r="C13" s="16">
        <f>IFERROR(__xludf.DUMMYFUNCTION("""COMPUTED_VALUE"""),1.0E8)</f>
        <v>100000000</v>
      </c>
      <c r="D13" s="2"/>
      <c r="E13" s="2"/>
      <c r="F13" s="2"/>
      <c r="G13" s="2"/>
      <c r="H13" s="2"/>
      <c r="I13" s="2"/>
      <c r="J13" s="2"/>
      <c r="K13" s="2"/>
      <c r="L13" s="2"/>
      <c r="M13" s="2"/>
      <c r="N13" s="2"/>
      <c r="O13" s="2"/>
      <c r="P13" s="2"/>
      <c r="Q13" s="2"/>
      <c r="R13" s="2"/>
      <c r="S13" s="2"/>
      <c r="T13" s="2"/>
      <c r="U13" s="2"/>
      <c r="V13" s="2"/>
      <c r="W13" s="2"/>
      <c r="X13" s="2"/>
      <c r="Y13" s="2"/>
      <c r="Z13" s="2"/>
    </row>
    <row r="14">
      <c r="A14" s="2" t="str">
        <f>IFERROR(__xludf.DUMMYFUNCTION("""COMPUTED_VALUE"""),"Personal In-House Breedery")</f>
        <v>Personal In-House Breedery</v>
      </c>
      <c r="B14" s="2" t="str">
        <f>IFERROR(__xludf.DUMMYFUNCTION("""COMPUTED_VALUE"""),"Will breed two alike companions together without fail.
50,000,000G per companion")</f>
        <v>Will breed two alike companions together without fail.
50,000,000G per companion</v>
      </c>
      <c r="C14" s="16">
        <f>IFERROR(__xludf.DUMMYFUNCTION("""COMPUTED_VALUE"""),1.0E8)</f>
        <v>100000000</v>
      </c>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38"/>
  </cols>
  <sheetData>
    <row r="1">
      <c r="A1" s="23" t="s">
        <v>11</v>
      </c>
      <c r="B1" s="18" t="s">
        <v>12</v>
      </c>
      <c r="C1" s="1" t="s">
        <v>13</v>
      </c>
      <c r="D1" s="18" t="s">
        <v>14</v>
      </c>
      <c r="E1" s="18" t="s">
        <v>15</v>
      </c>
      <c r="F1" s="18" t="s">
        <v>16</v>
      </c>
      <c r="G1" s="18" t="s">
        <v>17</v>
      </c>
    </row>
    <row r="2">
      <c r="A2" s="2" t="str">
        <f>IFERROR(__xludf.DUMMYFUNCTION("IMPORTRANGE(""https://docs.google.com/spreadsheets/d/1HXoAI5UG3zq1UHqU5n7fPdbQk93qOha2VQb1r7iRi1o"",""ItemEquipCombine!A:Z"")"),"""Hellfire Club"" Vest of Metal Harmony's")</f>
        <v>"Hellfire Club" Vest of Metal Harmony's</v>
      </c>
      <c r="B2" s="2"/>
      <c r="C2" s="2"/>
      <c r="D2" s="2" t="str">
        <f>IFERROR(__xludf.DUMMYFUNCTION("""COMPUTED_VALUE"""),"Torso")</f>
        <v>Torso</v>
      </c>
      <c r="E2" s="2">
        <f>IFERROR(__xludf.DUMMYFUNCTION("""COMPUTED_VALUE"""),200.0)</f>
        <v>200</v>
      </c>
      <c r="F2" s="2" t="str">
        <f>IFERROR(__xludf.DUMMYFUNCTION("""COMPUTED_VALUE"""),"DEF: ++10000 ++When dealing damage with an instrument you will regain sp equal to the damage you caused.")</f>
        <v>DEF: ++10000 ++When dealing damage with an instrument you will regain sp equal to the damage you caused.</v>
      </c>
      <c r="G2" s="2">
        <f>IFERROR(__xludf.DUMMYFUNCTION("""COMPUTED_VALUE"""),1900000.0)</f>
        <v>1900000</v>
      </c>
      <c r="H2" s="2"/>
      <c r="I2" s="2"/>
      <c r="J2" s="2"/>
      <c r="K2" s="2"/>
      <c r="L2" s="2"/>
      <c r="M2" s="2"/>
      <c r="N2" s="2"/>
      <c r="O2" s="2"/>
      <c r="P2" s="2"/>
      <c r="Q2" s="2"/>
      <c r="R2" s="2"/>
      <c r="S2" s="2"/>
      <c r="T2" s="2"/>
      <c r="U2" s="2"/>
      <c r="V2" s="2"/>
      <c r="W2" s="2"/>
      <c r="X2" s="2"/>
      <c r="Y2" s="2"/>
      <c r="Z2" s="2"/>
    </row>
    <row r="3">
      <c r="A3" s="2" t="str">
        <f>IFERROR(__xludf.DUMMYFUNCTION("""COMPUTED_VALUE"""),"""Sweetheart"" Guitar of The Upside Down")</f>
        <v>"Sweetheart" Guitar of The Upside Down</v>
      </c>
      <c r="B3" s="2"/>
      <c r="C3" s="2" t="str">
        <f>IFERROR(__xludf.DUMMYFUNCTION("""COMPUTED_VALUE"""),"Instrument")</f>
        <v>Instrument</v>
      </c>
      <c r="D3" s="2" t="str">
        <f>IFERROR(__xludf.DUMMYFUNCTION("""COMPUTED_VALUE"""),"Hand")</f>
        <v>Hand</v>
      </c>
      <c r="E3" s="2">
        <f>IFERROR(__xludf.DUMMYFUNCTION("""COMPUTED_VALUE"""),200.0)</f>
        <v>200</v>
      </c>
      <c r="F3" s="2" t="str">
        <f>IFERROR(__xludf.DUMMYFUNCTION("""COMPUTED_VALUE"""),"DMG: +2500, Fire DMG: +2500, Dark DMG: +2500, Chaos DMG: +2500 ++This instrument will deal X2 damage while it's equipped. ++Any spells that deal damage for the user will now do an additional X2. ++25% chance to port the target you hit to a random location"&amp;".")</f>
        <v>DMG: +2500, Fire DMG: +2500, Dark DMG: +2500, Chaos DMG: +2500 ++This instrument will deal X2 damage while it's equipped. ++Any spells that deal damage for the user will now do an additional X2. ++25% chance to port the target you hit to a random location.</v>
      </c>
      <c r="G3" s="2">
        <f>IFERROR(__xludf.DUMMYFUNCTION("""COMPUTED_VALUE"""),1900000.0)</f>
        <v>1900000</v>
      </c>
      <c r="H3" s="2"/>
      <c r="I3" s="2"/>
      <c r="J3" s="2"/>
      <c r="K3" s="2"/>
      <c r="L3" s="2"/>
      <c r="M3" s="2"/>
      <c r="N3" s="2"/>
      <c r="O3" s="2"/>
      <c r="P3" s="2"/>
      <c r="Q3" s="2"/>
      <c r="R3" s="2"/>
      <c r="S3" s="2"/>
      <c r="T3" s="2"/>
      <c r="U3" s="2"/>
      <c r="V3" s="2"/>
      <c r="W3" s="2"/>
      <c r="X3" s="2"/>
      <c r="Y3" s="2"/>
      <c r="Z3" s="2"/>
    </row>
    <row r="4">
      <c r="A4" s="2" t="str">
        <f>IFERROR(__xludf.DUMMYFUNCTION("""COMPUTED_VALUE"""),"Alpha Sword")</f>
        <v>Alpha Sword</v>
      </c>
      <c r="B4" s="2"/>
      <c r="C4" s="2" t="str">
        <f>IFERROR(__xludf.DUMMYFUNCTION("""COMPUTED_VALUE"""),"Sword")</f>
        <v>Sword</v>
      </c>
      <c r="D4" s="2" t="str">
        <f>IFERROR(__xludf.DUMMYFUNCTION("""COMPUTED_VALUE"""),"Hand")</f>
        <v>Hand</v>
      </c>
      <c r="E4" s="2">
        <f>IFERROR(__xludf.DUMMYFUNCTION("""COMPUTED_VALUE"""),4000.0)</f>
        <v>4000</v>
      </c>
      <c r="F4" s="2" t="str">
        <f>IFERROR(__xludf.DUMMYFUNCTION("""COMPUTED_VALUE"""),"DMG: +100000, Dark DMG: +100000 ++If you kill an enemy using this weapon you may attack another enemy once more using this weapon on the same turn but this can only be done once per turn.")</f>
        <v>DMG: +100000, Dark DMG: +100000 ++If you kill an enemy using this weapon you may attack another enemy once more using this weapon on the same turn but this can only be done once per turn.</v>
      </c>
      <c r="G4" s="2">
        <f>IFERROR(__xludf.DUMMYFUNCTION("""COMPUTED_VALUE"""),7.98E8)</f>
        <v>798000000</v>
      </c>
      <c r="H4" s="2"/>
      <c r="I4" s="2"/>
      <c r="J4" s="2"/>
      <c r="K4" s="2"/>
      <c r="L4" s="2"/>
      <c r="M4" s="2"/>
      <c r="N4" s="2"/>
      <c r="O4" s="2"/>
      <c r="P4" s="2"/>
      <c r="Q4" s="2"/>
      <c r="R4" s="2"/>
      <c r="S4" s="2"/>
      <c r="T4" s="2"/>
      <c r="U4" s="2"/>
      <c r="V4" s="2"/>
      <c r="W4" s="2"/>
      <c r="X4" s="2"/>
      <c r="Y4" s="2"/>
      <c r="Z4" s="2"/>
    </row>
    <row r="5">
      <c r="A5" s="2" t="str">
        <f>IFERROR(__xludf.DUMMYFUNCTION("""COMPUTED_VALUE"""),"Ancient Colossus Forest Hammer")</f>
        <v>Ancient Colossus Forest Hammer</v>
      </c>
      <c r="B5" s="2"/>
      <c r="C5" s="2" t="str">
        <f>IFERROR(__xludf.DUMMYFUNCTION("""COMPUTED_VALUE"""),"Club")</f>
        <v>Club</v>
      </c>
      <c r="D5" s="2" t="str">
        <f>IFERROR(__xludf.DUMMYFUNCTION("""COMPUTED_VALUE"""),"Hand")</f>
        <v>Hand</v>
      </c>
      <c r="E5" s="2">
        <f>IFERROR(__xludf.DUMMYFUNCTION("""COMPUTED_VALUE"""),700.0)</f>
        <v>700</v>
      </c>
      <c r="F5" s="2" t="str">
        <f>IFERROR(__xludf.DUMMYFUNCTION("""COMPUTED_VALUE"""),"DMG: +25000, Nature DMG: +10000 ++When in a Natural environment all attacks with this weapon will roll twice and take the higher number")</f>
        <v>DMG: +25000, Nature DMG: +10000 ++When in a Natural environment all attacks with this weapon will roll twice and take the higher number</v>
      </c>
      <c r="G5" s="2">
        <f>IFERROR(__xludf.DUMMYFUNCTION("""COMPUTED_VALUE"""),2.415E7)</f>
        <v>24150000</v>
      </c>
      <c r="H5" s="2"/>
      <c r="I5" s="2"/>
      <c r="J5" s="2"/>
      <c r="K5" s="2"/>
      <c r="L5" s="2"/>
      <c r="M5" s="2"/>
      <c r="N5" s="2"/>
      <c r="O5" s="2"/>
      <c r="P5" s="2"/>
      <c r="Q5" s="2"/>
      <c r="R5" s="2"/>
      <c r="S5" s="2"/>
      <c r="T5" s="2"/>
      <c r="U5" s="2"/>
      <c r="V5" s="2"/>
      <c r="W5" s="2"/>
      <c r="X5" s="2"/>
      <c r="Y5" s="2"/>
      <c r="Z5" s="2"/>
    </row>
    <row r="6">
      <c r="A6" s="2" t="str">
        <f>IFERROR(__xludf.DUMMYFUNCTION("""COMPUTED_VALUE"""),"Ancient Samurai Sword")</f>
        <v>Ancient Samurai Sword</v>
      </c>
      <c r="B6" s="2"/>
      <c r="C6" s="2" t="str">
        <f>IFERROR(__xludf.DUMMYFUNCTION("""COMPUTED_VALUE"""),"Sword")</f>
        <v>Sword</v>
      </c>
      <c r="D6" s="2" t="str">
        <f>IFERROR(__xludf.DUMMYFUNCTION("""COMPUTED_VALUE"""),"Hand")</f>
        <v>Hand</v>
      </c>
      <c r="E6" s="2">
        <f>IFERROR(__xludf.DUMMYFUNCTION("""COMPUTED_VALUE"""),800.0)</f>
        <v>800</v>
      </c>
      <c r="F6" s="2" t="str">
        <f>IFERROR(__xludf.DUMMYFUNCTION("""COMPUTED_VALUE"""),"DMG: +10000, Fire DMG: +10000, Light DMG: +10000, Order DMG: +10000 ++Doubles the chance for the Sword ability to activate")</f>
        <v>DMG: +10000, Fire DMG: +10000, Light DMG: +10000, Order DMG: +10000 ++Doubles the chance for the Sword ability to activate</v>
      </c>
      <c r="G6" s="2">
        <f>IFERROR(__xludf.DUMMYFUNCTION("""COMPUTED_VALUE"""),3.16E7)</f>
        <v>31600000</v>
      </c>
      <c r="H6" s="2"/>
      <c r="I6" s="2"/>
      <c r="J6" s="2"/>
      <c r="K6" s="2"/>
      <c r="L6" s="2"/>
      <c r="M6" s="2"/>
      <c r="N6" s="2"/>
      <c r="O6" s="2"/>
      <c r="P6" s="2"/>
      <c r="Q6" s="2"/>
      <c r="R6" s="2"/>
      <c r="S6" s="2"/>
      <c r="T6" s="2"/>
      <c r="U6" s="2"/>
      <c r="V6" s="2"/>
      <c r="W6" s="2"/>
      <c r="X6" s="2"/>
      <c r="Y6" s="2"/>
      <c r="Z6" s="2"/>
    </row>
    <row r="7">
      <c r="A7" s="2" t="str">
        <f>IFERROR(__xludf.DUMMYFUNCTION("""COMPUTED_VALUE"""),"Ancient Stone Guardians Sword")</f>
        <v>Ancient Stone Guardians Sword</v>
      </c>
      <c r="B7" s="2"/>
      <c r="C7" s="2" t="str">
        <f>IFERROR(__xludf.DUMMYFUNCTION("""COMPUTED_VALUE"""),"Sword")</f>
        <v>Sword</v>
      </c>
      <c r="D7" s="2" t="str">
        <f>IFERROR(__xludf.DUMMYFUNCTION("""COMPUTED_VALUE"""),"Hand")</f>
        <v>Hand</v>
      </c>
      <c r="E7" s="2">
        <f>IFERROR(__xludf.DUMMYFUNCTION("""COMPUTED_VALUE"""),1200.0)</f>
        <v>1200</v>
      </c>
      <c r="F7" s="2" t="str">
        <f>IFERROR(__xludf.DUMMYFUNCTION("""COMPUTED_VALUE"""),"DMG: +20000, Earth DMG: +20000, Light DMG: +20000 ++X2 Defense for all allies")</f>
        <v>DMG: +20000, Earth DMG: +20000, Light DMG: +20000 ++X2 Defense for all allies</v>
      </c>
      <c r="G7" s="2">
        <f>IFERROR(__xludf.DUMMYFUNCTION("""COMPUTED_VALUE"""),7.14E7)</f>
        <v>71400000</v>
      </c>
      <c r="H7" s="2"/>
      <c r="I7" s="2"/>
      <c r="J7" s="2"/>
      <c r="K7" s="2"/>
      <c r="L7" s="2"/>
      <c r="M7" s="2"/>
      <c r="N7" s="2"/>
      <c r="O7" s="2"/>
      <c r="P7" s="2"/>
      <c r="Q7" s="2"/>
      <c r="R7" s="2"/>
      <c r="S7" s="2"/>
      <c r="T7" s="2"/>
      <c r="U7" s="2"/>
      <c r="V7" s="2"/>
      <c r="W7" s="2"/>
      <c r="X7" s="2"/>
      <c r="Y7" s="2"/>
      <c r="Z7" s="2"/>
    </row>
    <row r="8">
      <c r="A8" s="2" t="str">
        <f>IFERROR(__xludf.DUMMYFUNCTION("""COMPUTED_VALUE"""),"Aqua Robe")</f>
        <v>Aqua Robe</v>
      </c>
      <c r="B8" s="2"/>
      <c r="C8" s="2"/>
      <c r="D8" s="2" t="str">
        <f>IFERROR(__xludf.DUMMYFUNCTION("""COMPUTED_VALUE"""),"Torso")</f>
        <v>Torso</v>
      </c>
      <c r="E8" s="2">
        <f>IFERROR(__xludf.DUMMYFUNCTION("""COMPUTED_VALUE"""),40.0)</f>
        <v>40</v>
      </c>
      <c r="F8" s="2" t="str">
        <f>IFERROR(__xludf.DUMMYFUNCTION("""COMPUTED_VALUE"""),"DEF: +1000, Water DEF: +1000 ++X4 damage additional water damage for the user.")</f>
        <v>DEF: +1000, Water DEF: +1000 ++X4 damage additional water damage for the user.</v>
      </c>
      <c r="G8" s="2">
        <f>IFERROR(__xludf.DUMMYFUNCTION("""COMPUTED_VALUE"""),60000.0)</f>
        <v>60000</v>
      </c>
      <c r="H8" s="2"/>
      <c r="I8" s="2"/>
      <c r="J8" s="2"/>
      <c r="K8" s="2"/>
      <c r="L8" s="2"/>
      <c r="M8" s="2"/>
      <c r="N8" s="2"/>
      <c r="O8" s="2"/>
      <c r="P8" s="2"/>
      <c r="Q8" s="2"/>
      <c r="R8" s="2"/>
      <c r="S8" s="2"/>
      <c r="T8" s="2"/>
      <c r="U8" s="2"/>
      <c r="V8" s="2"/>
      <c r="W8" s="2"/>
      <c r="X8" s="2"/>
      <c r="Y8" s="2"/>
      <c r="Z8" s="2"/>
    </row>
    <row r="9">
      <c r="A9" s="2" t="str">
        <f>IFERROR(__xludf.DUMMYFUNCTION("""COMPUTED_VALUE"""),"Aquatic Boots of Atlantis")</f>
        <v>Aquatic Boots of Atlantis</v>
      </c>
      <c r="B9" s="2"/>
      <c r="C9" s="2"/>
      <c r="D9" s="2" t="str">
        <f>IFERROR(__xludf.DUMMYFUNCTION("""COMPUTED_VALUE"""),"Feet")</f>
        <v>Feet</v>
      </c>
      <c r="E9" s="2">
        <f>IFERROR(__xludf.DUMMYFUNCTION("""COMPUTED_VALUE"""),300.0)</f>
        <v>300</v>
      </c>
      <c r="F9" s="2" t="str">
        <f>IFERROR(__xludf.DUMMYFUNCTION("""COMPUTED_VALUE"""),"DEF: +7500, Water DEF: +7500 ++X6 additional water damage for self.")</f>
        <v>DEF: +7500, Water DEF: +7500 ++X6 additional water damage for self.</v>
      </c>
      <c r="G9" s="2">
        <f>IFERROR(__xludf.DUMMYFUNCTION("""COMPUTED_VALUE"""),4350000.0)</f>
        <v>4350000</v>
      </c>
      <c r="H9" s="2"/>
      <c r="I9" s="2"/>
      <c r="J9" s="2"/>
      <c r="K9" s="2"/>
      <c r="L9" s="2"/>
      <c r="M9" s="2"/>
      <c r="N9" s="2"/>
      <c r="O9" s="2"/>
      <c r="P9" s="2"/>
      <c r="Q9" s="2"/>
      <c r="R9" s="2"/>
      <c r="S9" s="2"/>
      <c r="T9" s="2"/>
      <c r="U9" s="2"/>
      <c r="V9" s="2"/>
      <c r="W9" s="2"/>
      <c r="X9" s="2"/>
      <c r="Y9" s="2"/>
      <c r="Z9" s="2"/>
    </row>
    <row r="10">
      <c r="A10" s="2" t="str">
        <f>IFERROR(__xludf.DUMMYFUNCTION("""COMPUTED_VALUE"""),"Aquatic Chestplate of Atlantis")</f>
        <v>Aquatic Chestplate of Atlantis</v>
      </c>
      <c r="B10" s="2"/>
      <c r="C10" s="2"/>
      <c r="D10" s="2" t="str">
        <f>IFERROR(__xludf.DUMMYFUNCTION("""COMPUTED_VALUE"""),"Torso")</f>
        <v>Torso</v>
      </c>
      <c r="E10" s="2">
        <f>IFERROR(__xludf.DUMMYFUNCTION("""COMPUTED_VALUE"""),600.0)</f>
        <v>600</v>
      </c>
      <c r="F10" s="2" t="str">
        <f>IFERROR(__xludf.DUMMYFUNCTION("""COMPUTED_VALUE"""),"DEF: +15000, Water DEF: +15000 ++X6 additional water damage for self.  ++X8 Defense for self and allies if you have all Aquatic Atlantis Equipment Equipped.")</f>
        <v>DEF: +15000, Water DEF: +15000 ++X6 additional water damage for self.  ++X8 Defense for self and allies if you have all Aquatic Atlantis Equipment Equipped.</v>
      </c>
      <c r="G10" s="2">
        <f>IFERROR(__xludf.DUMMYFUNCTION("""COMPUTED_VALUE"""),1.77E7)</f>
        <v>17700000</v>
      </c>
      <c r="H10" s="2"/>
      <c r="I10" s="2"/>
      <c r="J10" s="2"/>
      <c r="K10" s="2"/>
      <c r="L10" s="2"/>
      <c r="M10" s="2"/>
      <c r="N10" s="2"/>
      <c r="O10" s="2"/>
      <c r="P10" s="2"/>
      <c r="Q10" s="2"/>
      <c r="R10" s="2"/>
      <c r="S10" s="2"/>
      <c r="T10" s="2"/>
      <c r="U10" s="2"/>
      <c r="V10" s="2"/>
      <c r="W10" s="2"/>
      <c r="X10" s="2"/>
      <c r="Y10" s="2"/>
      <c r="Z10" s="2"/>
    </row>
    <row r="11">
      <c r="A11" s="2" t="str">
        <f>IFERROR(__xludf.DUMMYFUNCTION("""COMPUTED_VALUE"""),"Aquatic Greaves of Atlantis")</f>
        <v>Aquatic Greaves of Atlantis</v>
      </c>
      <c r="B11" s="2"/>
      <c r="C11" s="2"/>
      <c r="D11" s="2" t="str">
        <f>IFERROR(__xludf.DUMMYFUNCTION("""COMPUTED_VALUE"""),"Legs")</f>
        <v>Legs</v>
      </c>
      <c r="E11" s="2">
        <f>IFERROR(__xludf.DUMMYFUNCTION("""COMPUTED_VALUE"""),300.0)</f>
        <v>300</v>
      </c>
      <c r="F11" s="2" t="str">
        <f>IFERROR(__xludf.DUMMYFUNCTION("""COMPUTED_VALUE"""),"DEF: +7500, Water DEF: +7500 ++X6 additional water damage for self.")</f>
        <v>DEF: +7500, Water DEF: +7500 ++X6 additional water damage for self.</v>
      </c>
      <c r="G11" s="2">
        <f>IFERROR(__xludf.DUMMYFUNCTION("""COMPUTED_VALUE"""),4350000.0)</f>
        <v>4350000</v>
      </c>
      <c r="H11" s="2"/>
      <c r="I11" s="2"/>
      <c r="J11" s="2"/>
      <c r="K11" s="2"/>
      <c r="L11" s="2"/>
      <c r="M11" s="2"/>
      <c r="N11" s="2"/>
      <c r="O11" s="2"/>
      <c r="P11" s="2"/>
      <c r="Q11" s="2"/>
      <c r="R11" s="2"/>
      <c r="S11" s="2"/>
      <c r="T11" s="2"/>
      <c r="U11" s="2"/>
      <c r="V11" s="2"/>
      <c r="W11" s="2"/>
      <c r="X11" s="2"/>
      <c r="Y11" s="2"/>
      <c r="Z11" s="2"/>
    </row>
    <row r="12">
      <c r="A12" s="2" t="str">
        <f>IFERROR(__xludf.DUMMYFUNCTION("""COMPUTED_VALUE"""),"Aquatic Helmet of Atlantis")</f>
        <v>Aquatic Helmet of Atlantis</v>
      </c>
      <c r="B12" s="2"/>
      <c r="C12" s="2"/>
      <c r="D12" s="2" t="str">
        <f>IFERROR(__xludf.DUMMYFUNCTION("""COMPUTED_VALUE"""),"Head")</f>
        <v>Head</v>
      </c>
      <c r="E12" s="2">
        <f>IFERROR(__xludf.DUMMYFUNCTION("""COMPUTED_VALUE"""),300.0)</f>
        <v>300</v>
      </c>
      <c r="F12" s="2" t="str">
        <f>IFERROR(__xludf.DUMMYFUNCTION("""COMPUTED_VALUE"""),"DEF: +7500, Water DEF: +7500 ++X6 additional water damage for self.")</f>
        <v>DEF: +7500, Water DEF: +7500 ++X6 additional water damage for self.</v>
      </c>
      <c r="G12" s="2">
        <f>IFERROR(__xludf.DUMMYFUNCTION("""COMPUTED_VALUE"""),4350000.0)</f>
        <v>4350000</v>
      </c>
      <c r="H12" s="2"/>
      <c r="I12" s="2"/>
      <c r="J12" s="2"/>
      <c r="K12" s="2"/>
      <c r="L12" s="2"/>
      <c r="M12" s="2"/>
      <c r="N12" s="2"/>
      <c r="O12" s="2"/>
      <c r="P12" s="2"/>
      <c r="Q12" s="2"/>
      <c r="R12" s="2"/>
      <c r="S12" s="2"/>
      <c r="T12" s="2"/>
      <c r="U12" s="2"/>
      <c r="V12" s="2"/>
      <c r="W12" s="2"/>
      <c r="X12" s="2"/>
      <c r="Y12" s="2"/>
      <c r="Z12" s="2"/>
    </row>
    <row r="13">
      <c r="A13" s="2" t="str">
        <f>IFERROR(__xludf.DUMMYFUNCTION("""COMPUTED_VALUE"""),"Aquatic Pauldrons of Atlantis")</f>
        <v>Aquatic Pauldrons of Atlantis</v>
      </c>
      <c r="B13" s="2"/>
      <c r="C13" s="2"/>
      <c r="D13" s="2" t="str">
        <f>IFERROR(__xludf.DUMMYFUNCTION("""COMPUTED_VALUE"""),"Shoulders")</f>
        <v>Shoulders</v>
      </c>
      <c r="E13" s="2">
        <f>IFERROR(__xludf.DUMMYFUNCTION("""COMPUTED_VALUE"""),300.0)</f>
        <v>300</v>
      </c>
      <c r="F13" s="2" t="str">
        <f>IFERROR(__xludf.DUMMYFUNCTION("""COMPUTED_VALUE"""),"DEF: +7500, Water DEF: +7500 ++X6 additional water damage for self.")</f>
        <v>DEF: +7500, Water DEF: +7500 ++X6 additional water damage for self.</v>
      </c>
      <c r="G13" s="2">
        <f>IFERROR(__xludf.DUMMYFUNCTION("""COMPUTED_VALUE"""),4350000.0)</f>
        <v>4350000</v>
      </c>
      <c r="H13" s="2"/>
      <c r="I13" s="2"/>
      <c r="J13" s="2"/>
      <c r="K13" s="2"/>
      <c r="L13" s="2"/>
      <c r="M13" s="2"/>
      <c r="N13" s="2"/>
      <c r="O13" s="2"/>
      <c r="P13" s="2"/>
      <c r="Q13" s="2"/>
      <c r="R13" s="2"/>
      <c r="S13" s="2"/>
      <c r="T13" s="2"/>
      <c r="U13" s="2"/>
      <c r="V13" s="2"/>
      <c r="W13" s="2"/>
      <c r="X13" s="2"/>
      <c r="Y13" s="2"/>
      <c r="Z13" s="2"/>
    </row>
    <row r="14">
      <c r="A14" s="2" t="str">
        <f>IFERROR(__xludf.DUMMYFUNCTION("""COMPUTED_VALUE"""),"Aquatic Sword of Atlantis")</f>
        <v>Aquatic Sword of Atlantis</v>
      </c>
      <c r="B14" s="2"/>
      <c r="C14" s="2" t="str">
        <f>IFERROR(__xludf.DUMMYFUNCTION("""COMPUTED_VALUE"""),"Sword")</f>
        <v>Sword</v>
      </c>
      <c r="D14" s="2" t="str">
        <f>IFERROR(__xludf.DUMMYFUNCTION("""COMPUTED_VALUE"""),"Hand")</f>
        <v>Hand</v>
      </c>
      <c r="E14" s="2">
        <f>IFERROR(__xludf.DUMMYFUNCTION("""COMPUTED_VALUE"""),1200.0)</f>
        <v>1200</v>
      </c>
      <c r="F14" s="2" t="str">
        <f>IFERROR(__xludf.DUMMYFUNCTION("""COMPUTED_VALUE"""),"DMG: +30000, Water DMG: +30000 ++X6 additional water damage for self, ++Tides of Atlantis: Upon a successful hit this weapon has a 50% chance to cast Tsunami for no sp cost. Cannot be duplicated.")</f>
        <v>DMG: +30000, Water DMG: +30000 ++X6 additional water damage for self, ++Tides of Atlantis: Upon a successful hit this weapon has a 50% chance to cast Tsunami for no sp cost. Cannot be duplicated.</v>
      </c>
      <c r="G14" s="2">
        <f>IFERROR(__xludf.DUMMYFUNCTION("""COMPUTED_VALUE"""),7.14E7)</f>
        <v>71400000</v>
      </c>
      <c r="H14" s="2"/>
      <c r="I14" s="2"/>
      <c r="J14" s="2"/>
      <c r="K14" s="2"/>
      <c r="L14" s="2"/>
      <c r="M14" s="2"/>
      <c r="N14" s="2"/>
      <c r="O14" s="2"/>
      <c r="P14" s="2"/>
      <c r="Q14" s="2"/>
      <c r="R14" s="2"/>
      <c r="S14" s="2"/>
      <c r="T14" s="2"/>
      <c r="U14" s="2"/>
      <c r="V14" s="2"/>
      <c r="W14" s="2"/>
      <c r="X14" s="2"/>
      <c r="Y14" s="2"/>
      <c r="Z14" s="2"/>
    </row>
    <row r="15">
      <c r="A15" s="2" t="str">
        <f>IFERROR(__xludf.DUMMYFUNCTION("""COMPUTED_VALUE"""),"Aquatic Vambraces of Atlantis")</f>
        <v>Aquatic Vambraces of Atlantis</v>
      </c>
      <c r="B15" s="2"/>
      <c r="C15" s="2"/>
      <c r="D15" s="2" t="str">
        <f>IFERROR(__xludf.DUMMYFUNCTION("""COMPUTED_VALUE"""),"Arms")</f>
        <v>Arms</v>
      </c>
      <c r="E15" s="2">
        <f>IFERROR(__xludf.DUMMYFUNCTION("""COMPUTED_VALUE"""),300.0)</f>
        <v>300</v>
      </c>
      <c r="F15" s="2" t="str">
        <f>IFERROR(__xludf.DUMMYFUNCTION("""COMPUTED_VALUE"""),"DEF: +7500, Water DEF: +7500 X6 additional water damage for self.")</f>
        <v>DEF: +7500, Water DEF: +7500 X6 additional water damage for self.</v>
      </c>
      <c r="G15" s="2">
        <f>IFERROR(__xludf.DUMMYFUNCTION("""COMPUTED_VALUE"""),4350000.0)</f>
        <v>4350000</v>
      </c>
      <c r="H15" s="2"/>
      <c r="I15" s="2"/>
      <c r="J15" s="2"/>
      <c r="K15" s="2"/>
      <c r="L15" s="2"/>
      <c r="M15" s="2"/>
      <c r="N15" s="2"/>
      <c r="O15" s="2"/>
      <c r="P15" s="2"/>
      <c r="Q15" s="2"/>
      <c r="R15" s="2"/>
      <c r="S15" s="2"/>
      <c r="T15" s="2"/>
      <c r="U15" s="2"/>
      <c r="V15" s="2"/>
      <c r="W15" s="2"/>
      <c r="X15" s="2"/>
      <c r="Y15" s="2"/>
      <c r="Z15" s="2"/>
    </row>
    <row r="16">
      <c r="A16" s="2" t="str">
        <f>IFERROR(__xludf.DUMMYFUNCTION("""COMPUTED_VALUE"""),"Archer’s Cloaked Vest")</f>
        <v>Archer’s Cloaked Vest</v>
      </c>
      <c r="B16" s="2"/>
      <c r="C16" s="2"/>
      <c r="D16" s="2" t="str">
        <f>IFERROR(__xludf.DUMMYFUNCTION("""COMPUTED_VALUE"""),"Torso")</f>
        <v>Torso</v>
      </c>
      <c r="E16" s="2">
        <f>IFERROR(__xludf.DUMMYFUNCTION("""COMPUTED_VALUE"""),20.0)</f>
        <v>20</v>
      </c>
      <c r="F16" s="2" t="str">
        <f>IFERROR(__xludf.DUMMYFUNCTION("""COMPUTED_VALUE"""),"DEF: +800 (Ranger Set) ++Half the Arrow - Range Spells cost half the sp cost, ++Ranger Enrage - All Ranged Spells do double in damage ++only archers can equip")</f>
        <v>DEF: +800 (Ranger Set) ++Half the Arrow - Range Spells cost half the sp cost, ++Ranger Enrage - All Ranged Spells do double in damage ++only archers can equip</v>
      </c>
      <c r="G16" s="2">
        <f>IFERROR(__xludf.DUMMYFUNCTION("""COMPUTED_VALUE"""),1000.0)</f>
        <v>1000</v>
      </c>
      <c r="H16" s="2"/>
      <c r="I16" s="2"/>
      <c r="J16" s="2"/>
      <c r="K16" s="2"/>
      <c r="L16" s="2"/>
      <c r="M16" s="2"/>
      <c r="N16" s="2"/>
      <c r="O16" s="2"/>
      <c r="P16" s="2"/>
      <c r="Q16" s="2"/>
      <c r="R16" s="2"/>
      <c r="S16" s="2"/>
      <c r="T16" s="2"/>
      <c r="U16" s="2"/>
      <c r="V16" s="2"/>
      <c r="W16" s="2"/>
      <c r="X16" s="2"/>
      <c r="Y16" s="2"/>
      <c r="Z16" s="2"/>
    </row>
    <row r="17">
      <c r="A17" s="2" t="str">
        <f>IFERROR(__xludf.DUMMYFUNCTION("""COMPUTED_VALUE"""),"Archers Boots")</f>
        <v>Archers Boots</v>
      </c>
      <c r="B17" s="2"/>
      <c r="C17" s="2"/>
      <c r="D17" s="2" t="str">
        <f>IFERROR(__xludf.DUMMYFUNCTION("""COMPUTED_VALUE"""),"Feet")</f>
        <v>Feet</v>
      </c>
      <c r="E17" s="2">
        <f>IFERROR(__xludf.DUMMYFUNCTION("""COMPUTED_VALUE"""),1.0)</f>
        <v>1</v>
      </c>
      <c r="F17" s="2" t="str">
        <f>IFERROR(__xludf.DUMMYFUNCTION("""COMPUTED_VALUE""")," (Ranger Set) ++5 evasion ++Only archers can equip, +-Cannot be duplicated or forged.")</f>
        <v> (Ranger Set) ++5 evasion ++Only archers can equip, +-Cannot be duplicated or forged.</v>
      </c>
      <c r="G17" s="2">
        <f>IFERROR(__xludf.DUMMYFUNCTION("""COMPUTED_VALUE"""),0.0)</f>
        <v>0</v>
      </c>
      <c r="H17" s="2"/>
      <c r="I17" s="2"/>
      <c r="J17" s="2"/>
      <c r="K17" s="2"/>
      <c r="L17" s="2"/>
      <c r="M17" s="2"/>
      <c r="N17" s="2"/>
      <c r="O17" s="2"/>
      <c r="P17" s="2"/>
      <c r="Q17" s="2"/>
      <c r="R17" s="2"/>
      <c r="S17" s="2"/>
      <c r="T17" s="2"/>
      <c r="U17" s="2"/>
      <c r="V17" s="2"/>
      <c r="W17" s="2"/>
      <c r="X17" s="2"/>
      <c r="Y17" s="2"/>
      <c r="Z17" s="2"/>
    </row>
    <row r="18">
      <c r="A18" s="2" t="str">
        <f>IFERROR(__xludf.DUMMYFUNCTION("""COMPUTED_VALUE"""),"Archers Cloak")</f>
        <v>Archers Cloak</v>
      </c>
      <c r="B18" s="2"/>
      <c r="C18" s="2"/>
      <c r="D18" s="2" t="str">
        <f>IFERROR(__xludf.DUMMYFUNCTION("""COMPUTED_VALUE"""),"Torso")</f>
        <v>Torso</v>
      </c>
      <c r="E18" s="2">
        <f>IFERROR(__xludf.DUMMYFUNCTION("""COMPUTED_VALUE"""),1.0)</f>
        <v>1</v>
      </c>
      <c r="F18" s="2" t="str">
        <f>IFERROR(__xludf.DUMMYFUNCTION("""COMPUTED_VALUE""")," (Ranger Set) ++Ranged Spells cost half the sp cost ++Only archers can equip")</f>
        <v> (Ranger Set) ++Ranged Spells cost half the sp cost ++Only archers can equip</v>
      </c>
      <c r="G18" s="2">
        <f>IFERROR(__xludf.DUMMYFUNCTION("""COMPUTED_VALUE"""),0.0)</f>
        <v>0</v>
      </c>
      <c r="H18" s="2"/>
      <c r="I18" s="2"/>
      <c r="J18" s="2"/>
      <c r="K18" s="2"/>
      <c r="L18" s="2"/>
      <c r="M18" s="2"/>
      <c r="N18" s="2"/>
      <c r="O18" s="2"/>
      <c r="P18" s="2"/>
      <c r="Q18" s="2"/>
      <c r="R18" s="2"/>
      <c r="S18" s="2"/>
      <c r="T18" s="2"/>
      <c r="U18" s="2"/>
      <c r="V18" s="2"/>
      <c r="W18" s="2"/>
      <c r="X18" s="2"/>
      <c r="Y18" s="2"/>
      <c r="Z18" s="2"/>
    </row>
    <row r="19">
      <c r="A19" s="2" t="str">
        <f>IFERROR(__xludf.DUMMYFUNCTION("""COMPUTED_VALUE"""),"Armor Of Cthulhu")</f>
        <v>Armor Of Cthulhu</v>
      </c>
      <c r="B19" s="2"/>
      <c r="C19" s="2"/>
      <c r="D19" s="2" t="str">
        <f>IFERROR(__xludf.DUMMYFUNCTION("""COMPUTED_VALUE"""),"Torso")</f>
        <v>Torso</v>
      </c>
      <c r="E19" s="2">
        <f>IFERROR(__xludf.DUMMYFUNCTION("""COMPUTED_VALUE"""),400.0)</f>
        <v>400</v>
      </c>
      <c r="F19" s="2" t="str">
        <f>IFERROR(__xludf.DUMMYFUNCTION("""COMPUTED_VALUE"""),"DEF: +20000 (Cthulhu Set) ++Curse of Cthulhu - When the wearer takes damage the wearer will gain half the damage back as HP and SP.")</f>
        <v>DEF: +20000 (Cthulhu Set) ++Curse of Cthulhu - When the wearer takes damage the wearer will gain half the damage back as HP and SP.</v>
      </c>
      <c r="G19" s="2">
        <f>IFERROR(__xludf.DUMMYFUNCTION("""COMPUTED_VALUE"""),7800000.0)</f>
        <v>7800000</v>
      </c>
      <c r="H19" s="2"/>
      <c r="I19" s="2"/>
      <c r="J19" s="2"/>
      <c r="K19" s="2"/>
      <c r="L19" s="2"/>
      <c r="M19" s="2"/>
      <c r="N19" s="2"/>
      <c r="O19" s="2"/>
      <c r="P19" s="2"/>
      <c r="Q19" s="2"/>
      <c r="R19" s="2"/>
      <c r="S19" s="2"/>
      <c r="T19" s="2"/>
      <c r="U19" s="2"/>
      <c r="V19" s="2"/>
      <c r="W19" s="2"/>
      <c r="X19" s="2"/>
      <c r="Y19" s="2"/>
      <c r="Z19" s="2"/>
    </row>
    <row r="20">
      <c r="A20" s="2" t="str">
        <f>IFERROR(__xludf.DUMMYFUNCTION("""COMPUTED_VALUE"""),"Armor Of Zeldron")</f>
        <v>Armor Of Zeldron</v>
      </c>
      <c r="B20" s="2" t="str">
        <f>IFERROR(__xludf.DUMMYFUNCTION("""COMPUTED_VALUE"""),"Made of gold")</f>
        <v>Made of gold</v>
      </c>
      <c r="C20" s="2"/>
      <c r="D20" s="2" t="str">
        <f>IFERROR(__xludf.DUMMYFUNCTION("""COMPUTED_VALUE"""),"Torso")</f>
        <v>Torso</v>
      </c>
      <c r="E20" s="2">
        <f>IFERROR(__xludf.DUMMYFUNCTION("""COMPUTED_VALUE"""),400.0)</f>
        <v>400</v>
      </c>
      <c r="F20" s="2" t="str">
        <f>IFERROR(__xludf.DUMMYFUNCTION("""COMPUTED_VALUE"""),"DEF: +10000, Order DEF: +10000")</f>
        <v>DEF: +10000, Order DEF: +10000</v>
      </c>
      <c r="G20" s="2">
        <f>IFERROR(__xludf.DUMMYFUNCTION("""COMPUTED_VALUE"""),7800000.0)</f>
        <v>7800000</v>
      </c>
      <c r="H20" s="2"/>
      <c r="I20" s="2"/>
      <c r="J20" s="2"/>
      <c r="K20" s="2"/>
      <c r="L20" s="2"/>
      <c r="M20" s="2"/>
      <c r="N20" s="2"/>
      <c r="O20" s="2"/>
      <c r="P20" s="2"/>
      <c r="Q20" s="2"/>
      <c r="R20" s="2"/>
      <c r="S20" s="2"/>
      <c r="T20" s="2"/>
      <c r="U20" s="2"/>
      <c r="V20" s="2"/>
      <c r="W20" s="2"/>
      <c r="X20" s="2"/>
      <c r="Y20" s="2"/>
      <c r="Z20" s="2"/>
    </row>
    <row r="21">
      <c r="A21" s="2" t="str">
        <f>IFERROR(__xludf.DUMMYFUNCTION("""COMPUTED_VALUE"""),"Ashen Pole Axe")</f>
        <v>Ashen Pole Axe</v>
      </c>
      <c r="B21" s="2"/>
      <c r="C21" s="2" t="str">
        <f>IFERROR(__xludf.DUMMYFUNCTION("""COMPUTED_VALUE"""),"Axe")</f>
        <v>Axe</v>
      </c>
      <c r="D21" s="2" t="str">
        <f>IFERROR(__xludf.DUMMYFUNCTION("""COMPUTED_VALUE"""),"Hand")</f>
        <v>Hand</v>
      </c>
      <c r="E21" s="2">
        <f>IFERROR(__xludf.DUMMYFUNCTION("""COMPUTED_VALUE"""),20.0)</f>
        <v>20</v>
      </c>
      <c r="F21" s="2" t="str">
        <f>IFERROR(__xludf.DUMMYFUNCTION("""COMPUTED_VALUE"""),"DMG: +500, Fire DMG: +500 ++Inflicts Burn 500")</f>
        <v>DMG: +500, Fire DMG: +500 ++Inflicts Burn 500</v>
      </c>
      <c r="G21" s="2">
        <f>IFERROR(__xludf.DUMMYFUNCTION("""COMPUTED_VALUE"""),10000.0)</f>
        <v>10000</v>
      </c>
      <c r="H21" s="2"/>
      <c r="I21" s="2"/>
      <c r="J21" s="2"/>
      <c r="K21" s="2"/>
      <c r="L21" s="2"/>
      <c r="M21" s="2"/>
      <c r="N21" s="2"/>
      <c r="O21" s="2"/>
      <c r="P21" s="2"/>
      <c r="Q21" s="2"/>
      <c r="R21" s="2"/>
      <c r="S21" s="2"/>
      <c r="T21" s="2"/>
      <c r="U21" s="2"/>
      <c r="V21" s="2"/>
      <c r="W21" s="2"/>
      <c r="X21" s="2"/>
      <c r="Y21" s="2"/>
      <c r="Z21" s="2"/>
    </row>
    <row r="22">
      <c r="A22" s="2" t="str">
        <f>IFERROR(__xludf.DUMMYFUNCTION("""COMPUTED_VALUE"""),"Bamboo Spear")</f>
        <v>Bamboo Spear</v>
      </c>
      <c r="B22" s="2"/>
      <c r="C22" s="2" t="str">
        <f>IFERROR(__xludf.DUMMYFUNCTION("""COMPUTED_VALUE"""),"Spear")</f>
        <v>Spear</v>
      </c>
      <c r="D22" s="2" t="str">
        <f>IFERROR(__xludf.DUMMYFUNCTION("""COMPUTED_VALUE"""),"Hand")</f>
        <v>Hand</v>
      </c>
      <c r="E22" s="2">
        <f>IFERROR(__xludf.DUMMYFUNCTION("""COMPUTED_VALUE"""),60.0)</f>
        <v>60</v>
      </c>
      <c r="F22" s="2" t="str">
        <f>IFERROR(__xludf.DUMMYFUNCTION("""COMPUTED_VALUE"""),"DMG: +1000, Nature DMG: +1000, Blood DMG: +1000 ++When striking an enemy with this weapon, they X2 additional Nature damage.")</f>
        <v>DMG: +1000, Nature DMG: +1000, Blood DMG: +1000 ++When striking an enemy with this weapon, they X2 additional Nature damage.</v>
      </c>
      <c r="G22" s="2">
        <f>IFERROR(__xludf.DUMMYFUNCTION("""COMPUTED_VALUE"""),150000.0)</f>
        <v>150000</v>
      </c>
      <c r="H22" s="2"/>
      <c r="I22" s="2"/>
      <c r="J22" s="2"/>
      <c r="K22" s="2"/>
      <c r="L22" s="2"/>
      <c r="M22" s="2"/>
      <c r="N22" s="2"/>
      <c r="O22" s="2"/>
      <c r="P22" s="2"/>
      <c r="Q22" s="2"/>
      <c r="R22" s="2"/>
      <c r="S22" s="2"/>
      <c r="T22" s="2"/>
      <c r="U22" s="2"/>
      <c r="V22" s="2"/>
      <c r="W22" s="2"/>
      <c r="X22" s="2"/>
      <c r="Y22" s="2"/>
      <c r="Z22" s="2"/>
    </row>
    <row r="23">
      <c r="A23" s="2" t="str">
        <f>IFERROR(__xludf.DUMMYFUNCTION("""COMPUTED_VALUE"""),"Baosheng’s Restore Pendant")</f>
        <v>Baosheng’s Restore Pendant</v>
      </c>
      <c r="B23" s="2"/>
      <c r="C23" s="2"/>
      <c r="D23" s="2" t="str">
        <f>IFERROR(__xludf.DUMMYFUNCTION("""COMPUTED_VALUE"""),"Neck")</f>
        <v>Neck</v>
      </c>
      <c r="E23" s="2">
        <f>IFERROR(__xludf.DUMMYFUNCTION("""COMPUTED_VALUE"""),1.0)</f>
        <v>1</v>
      </c>
      <c r="F23" s="2" t="str">
        <f>IFERROR(__xludf.DUMMYFUNCTION("""COMPUTED_VALUE""")," ++Restores 100 HP and SP per round during battle.")</f>
        <v> ++Restores 100 HP and SP per round during battle.</v>
      </c>
      <c r="G23" s="2">
        <f>IFERROR(__xludf.DUMMYFUNCTION("""COMPUTED_VALUE"""),0.0)</f>
        <v>0</v>
      </c>
      <c r="H23" s="2"/>
      <c r="I23" s="2"/>
      <c r="J23" s="2"/>
      <c r="K23" s="2"/>
      <c r="L23" s="2"/>
      <c r="M23" s="2"/>
      <c r="N23" s="2"/>
      <c r="O23" s="2"/>
      <c r="P23" s="2"/>
      <c r="Q23" s="2"/>
      <c r="R23" s="2"/>
      <c r="S23" s="2"/>
      <c r="T23" s="2"/>
      <c r="U23" s="2"/>
      <c r="V23" s="2"/>
      <c r="W23" s="2"/>
      <c r="X23" s="2"/>
      <c r="Y23" s="2"/>
      <c r="Z23" s="2"/>
    </row>
    <row r="24">
      <c r="A24" s="2" t="str">
        <f>IFERROR(__xludf.DUMMYFUNCTION("""COMPUTED_VALUE"""),"Basic Cannon")</f>
        <v>Basic Cannon</v>
      </c>
      <c r="B24" s="2"/>
      <c r="C24" s="2" t="str">
        <f>IFERROR(__xludf.DUMMYFUNCTION("""COMPUTED_VALUE"""),"Firearm")</f>
        <v>Firearm</v>
      </c>
      <c r="D24" s="2" t="str">
        <f>IFERROR(__xludf.DUMMYFUNCTION("""COMPUTED_VALUE"""),"BoatGun")</f>
        <v>BoatGun</v>
      </c>
      <c r="E24" s="2">
        <f>IFERROR(__xludf.DUMMYFUNCTION("""COMPUTED_VALUE"""),400.0)</f>
        <v>400</v>
      </c>
      <c r="F24" s="2" t="str">
        <f>IFERROR(__xludf.DUMMYFUNCTION("""COMPUTED_VALUE"""),"DMG: +20000")</f>
        <v>DMG: +20000</v>
      </c>
      <c r="G24" s="2">
        <f>IFERROR(__xludf.DUMMYFUNCTION("""COMPUTED_VALUE"""),7800000.0)</f>
        <v>7800000</v>
      </c>
      <c r="H24" s="2"/>
      <c r="I24" s="2"/>
      <c r="J24" s="2"/>
      <c r="K24" s="2"/>
      <c r="L24" s="2"/>
      <c r="M24" s="2"/>
      <c r="N24" s="2"/>
      <c r="O24" s="2"/>
      <c r="P24" s="2"/>
      <c r="Q24" s="2"/>
      <c r="R24" s="2"/>
      <c r="S24" s="2"/>
      <c r="T24" s="2"/>
      <c r="U24" s="2"/>
      <c r="V24" s="2"/>
      <c r="W24" s="2"/>
      <c r="X24" s="2"/>
      <c r="Y24" s="2"/>
      <c r="Z24" s="2"/>
    </row>
    <row r="25">
      <c r="A25" s="2" t="str">
        <f>IFERROR(__xludf.DUMMYFUNCTION("""COMPUTED_VALUE"""),"Beltane Floral crown")</f>
        <v>Beltane Floral crown</v>
      </c>
      <c r="B25" s="2"/>
      <c r="C25" s="2"/>
      <c r="D25" s="2" t="str">
        <f>IFERROR(__xludf.DUMMYFUNCTION("""COMPUTED_VALUE"""),"Head")</f>
        <v>Head</v>
      </c>
      <c r="E25" s="2">
        <f>IFERROR(__xludf.DUMMYFUNCTION("""COMPUTED_VALUE"""),1.0)</f>
        <v>1</v>
      </c>
      <c r="F25" s="2" t="str">
        <f>IFERROR(__xludf.DUMMYFUNCTION("""COMPUTED_VALUE""")," ++Grants immunity to Nature.")</f>
        <v> ++Grants immunity to Nature.</v>
      </c>
      <c r="G25" s="2">
        <f>IFERROR(__xludf.DUMMYFUNCTION("""COMPUTED_VALUE"""),0.0)</f>
        <v>0</v>
      </c>
      <c r="H25" s="2"/>
      <c r="I25" s="2"/>
      <c r="J25" s="2"/>
      <c r="K25" s="2"/>
      <c r="L25" s="2"/>
      <c r="M25" s="2"/>
      <c r="N25" s="2"/>
      <c r="O25" s="2"/>
      <c r="P25" s="2"/>
      <c r="Q25" s="2"/>
      <c r="R25" s="2"/>
      <c r="S25" s="2"/>
      <c r="T25" s="2"/>
      <c r="U25" s="2"/>
      <c r="V25" s="2"/>
      <c r="W25" s="2"/>
      <c r="X25" s="2"/>
      <c r="Y25" s="2"/>
      <c r="Z25" s="2"/>
    </row>
    <row r="26">
      <c r="A26" s="2" t="str">
        <f>IFERROR(__xludf.DUMMYFUNCTION("""COMPUTED_VALUE"""),"Beta Sword")</f>
        <v>Beta Sword</v>
      </c>
      <c r="B26" s="2"/>
      <c r="C26" s="2"/>
      <c r="D26" s="2" t="str">
        <f>IFERROR(__xludf.DUMMYFUNCTION("""COMPUTED_VALUE"""),"Hand")</f>
        <v>Hand</v>
      </c>
      <c r="E26" s="2">
        <f>IFERROR(__xludf.DUMMYFUNCTION("""COMPUTED_VALUE"""),3000.0)</f>
        <v>3000</v>
      </c>
      <c r="F26" s="2" t="str">
        <f>IFERROR(__xludf.DUMMYFUNCTION("""COMPUTED_VALUE"""),"DMG: +125000, Dark DMG: +25000 ++Allows you to use another party members companion on your turn as a second action.")</f>
        <v>DMG: +125000, Dark DMG: +25000 ++Allows you to use another party members companion on your turn as a second action.</v>
      </c>
      <c r="G26" s="2">
        <f>IFERROR(__xludf.DUMMYFUNCTION("""COMPUTED_VALUE"""),4.485E8)</f>
        <v>448500000</v>
      </c>
      <c r="H26" s="2"/>
      <c r="I26" s="2"/>
      <c r="J26" s="2"/>
      <c r="K26" s="2"/>
      <c r="L26" s="2"/>
      <c r="M26" s="2"/>
      <c r="N26" s="2"/>
      <c r="O26" s="2"/>
      <c r="P26" s="2"/>
      <c r="Q26" s="2"/>
      <c r="R26" s="2"/>
      <c r="S26" s="2"/>
      <c r="T26" s="2"/>
      <c r="U26" s="2"/>
      <c r="V26" s="2"/>
      <c r="W26" s="2"/>
      <c r="X26" s="2"/>
      <c r="Y26" s="2"/>
      <c r="Z26" s="2"/>
    </row>
    <row r="27">
      <c r="A27" s="2" t="str">
        <f>IFERROR(__xludf.DUMMYFUNCTION("""COMPUTED_VALUE"""),"Black Crystal Necklace of Luck")</f>
        <v>Black Crystal Necklace of Luck</v>
      </c>
      <c r="B27" s="2"/>
      <c r="C27" s="2"/>
      <c r="D27" s="2" t="str">
        <f>IFERROR(__xludf.DUMMYFUNCTION("""COMPUTED_VALUE"""),"Neck")</f>
        <v>Neck</v>
      </c>
      <c r="E27" s="2">
        <f>IFERROR(__xludf.DUMMYFUNCTION("""COMPUTED_VALUE"""),1.0)</f>
        <v>1</v>
      </c>
      <c r="F27" s="2" t="str">
        <f>IFERROR(__xludf.DUMMYFUNCTION("""COMPUTED_VALUE""")," ++Plus 2 is added to whatever number you roll on a d20 ++can only wear one, +-Cannot be forged or duplicated.")</f>
        <v> ++Plus 2 is added to whatever number you roll on a d20 ++can only wear one, +-Cannot be forged or duplicated.</v>
      </c>
      <c r="G27" s="2">
        <f>IFERROR(__xludf.DUMMYFUNCTION("""COMPUTED_VALUE"""),0.0)</f>
        <v>0</v>
      </c>
      <c r="H27" s="2"/>
      <c r="I27" s="2"/>
      <c r="J27" s="2"/>
      <c r="K27" s="2"/>
      <c r="L27" s="2"/>
      <c r="M27" s="2"/>
      <c r="N27" s="2"/>
      <c r="O27" s="2"/>
      <c r="P27" s="2"/>
      <c r="Q27" s="2"/>
      <c r="R27" s="2"/>
      <c r="S27" s="2"/>
      <c r="T27" s="2"/>
      <c r="U27" s="2"/>
      <c r="V27" s="2"/>
      <c r="W27" s="2"/>
      <c r="X27" s="2"/>
      <c r="Y27" s="2"/>
      <c r="Z27" s="2"/>
    </row>
    <row r="28">
      <c r="A28" s="2" t="str">
        <f>IFERROR(__xludf.DUMMYFUNCTION("""COMPUTED_VALUE"""),"Black Serpent Dragon Pendant")</f>
        <v>Black Serpent Dragon Pendant</v>
      </c>
      <c r="B28" s="2"/>
      <c r="C28" s="2"/>
      <c r="D28" s="2" t="str">
        <f>IFERROR(__xludf.DUMMYFUNCTION("""COMPUTED_VALUE"""),"Neck")</f>
        <v>Neck</v>
      </c>
      <c r="E28" s="2">
        <f>IFERROR(__xludf.DUMMYFUNCTION("""COMPUTED_VALUE"""),1.0)</f>
        <v>1</v>
      </c>
      <c r="F28" s="2" t="str">
        <f>IFERROR(__xludf.DUMMYFUNCTION("""COMPUTED_VALUE""")," ++Immunity to dark and water damage. ++X2 additional dark and water damage for the wearer.")</f>
        <v> ++Immunity to dark and water damage. ++X2 additional dark and water damage for the wearer.</v>
      </c>
      <c r="G28" s="2">
        <f>IFERROR(__xludf.DUMMYFUNCTION("""COMPUTED_VALUE"""),0.0)</f>
        <v>0</v>
      </c>
      <c r="H28" s="2"/>
      <c r="I28" s="2"/>
      <c r="J28" s="2"/>
      <c r="K28" s="2"/>
      <c r="L28" s="2"/>
      <c r="M28" s="2"/>
      <c r="N28" s="2"/>
      <c r="O28" s="2"/>
      <c r="P28" s="2"/>
      <c r="Q28" s="2"/>
      <c r="R28" s="2"/>
      <c r="S28" s="2"/>
      <c r="T28" s="2"/>
      <c r="U28" s="2"/>
      <c r="V28" s="2"/>
      <c r="W28" s="2"/>
      <c r="X28" s="2"/>
      <c r="Y28" s="2"/>
      <c r="Z28" s="2"/>
    </row>
    <row r="29">
      <c r="A29" s="2" t="str">
        <f>IFERROR(__xludf.DUMMYFUNCTION("""COMPUTED_VALUE"""),"Blade of Burning Energy")</f>
        <v>Blade of Burning Energy</v>
      </c>
      <c r="B29" s="2"/>
      <c r="C29" s="2" t="str">
        <f>IFERROR(__xludf.DUMMYFUNCTION("""COMPUTED_VALUE"""),"Sword")</f>
        <v>Sword</v>
      </c>
      <c r="D29" s="2" t="str">
        <f>IFERROR(__xludf.DUMMYFUNCTION("""COMPUTED_VALUE"""),"Hand")</f>
        <v>Hand</v>
      </c>
      <c r="E29" s="2">
        <f>IFERROR(__xludf.DUMMYFUNCTION("""COMPUTED_VALUE"""),400.0)</f>
        <v>400</v>
      </c>
      <c r="F29" s="2" t="str">
        <f>IFERROR(__xludf.DUMMYFUNCTION("""COMPUTED_VALUE"""),"DMG: +10000, Fire DMG: +10000 ++Burn 5000")</f>
        <v>DMG: +10000, Fire DMG: +10000 ++Burn 5000</v>
      </c>
      <c r="G29" s="2">
        <f>IFERROR(__xludf.DUMMYFUNCTION("""COMPUTED_VALUE"""),7800000.0)</f>
        <v>7800000</v>
      </c>
      <c r="H29" s="2"/>
      <c r="I29" s="2"/>
      <c r="J29" s="2"/>
      <c r="K29" s="2"/>
      <c r="L29" s="2"/>
      <c r="M29" s="2"/>
      <c r="N29" s="2"/>
      <c r="O29" s="2"/>
      <c r="P29" s="2"/>
      <c r="Q29" s="2"/>
      <c r="R29" s="2"/>
      <c r="S29" s="2"/>
      <c r="T29" s="2"/>
      <c r="U29" s="2"/>
      <c r="V29" s="2"/>
      <c r="W29" s="2"/>
      <c r="X29" s="2"/>
      <c r="Y29" s="2"/>
      <c r="Z29" s="2"/>
    </row>
    <row r="30">
      <c r="A30" s="2" t="str">
        <f>IFERROR(__xludf.DUMMYFUNCTION("""COMPUTED_VALUE"""),"Blood Katana")</f>
        <v>Blood Katana</v>
      </c>
      <c r="B30" s="2"/>
      <c r="C30" s="2" t="str">
        <f>IFERROR(__xludf.DUMMYFUNCTION("""COMPUTED_VALUE"""),"Sword")</f>
        <v>Sword</v>
      </c>
      <c r="D30" s="2" t="str">
        <f>IFERROR(__xludf.DUMMYFUNCTION("""COMPUTED_VALUE"""),"Hand")</f>
        <v>Hand</v>
      </c>
      <c r="E30" s="2">
        <f>IFERROR(__xludf.DUMMYFUNCTION("""COMPUTED_VALUE"""),400.0)</f>
        <v>400</v>
      </c>
      <c r="F30" s="2" t="str">
        <f>IFERROR(__xludf.DUMMYFUNCTION("""COMPUTED_VALUE"""),"DMG: +10000, Blood DMG: +10000 ++X2 blood damage for spells and weapons. +-Cannot be duplicated.")</f>
        <v>DMG: +10000, Blood DMG: +10000 ++X2 blood damage for spells and weapons. +-Cannot be duplicated.</v>
      </c>
      <c r="G30" s="2">
        <f>IFERROR(__xludf.DUMMYFUNCTION("""COMPUTED_VALUE"""),7800000.0)</f>
        <v>7800000</v>
      </c>
      <c r="H30" s="2"/>
      <c r="I30" s="2"/>
      <c r="J30" s="2"/>
      <c r="K30" s="2"/>
      <c r="L30" s="2"/>
      <c r="M30" s="2"/>
      <c r="N30" s="2"/>
      <c r="O30" s="2"/>
      <c r="P30" s="2"/>
      <c r="Q30" s="2"/>
      <c r="R30" s="2"/>
      <c r="S30" s="2"/>
      <c r="T30" s="2"/>
      <c r="U30" s="2"/>
      <c r="V30" s="2"/>
      <c r="W30" s="2"/>
      <c r="X30" s="2"/>
      <c r="Y30" s="2"/>
      <c r="Z30" s="2"/>
    </row>
    <row r="31">
      <c r="A31" s="2" t="str">
        <f>IFERROR(__xludf.DUMMYFUNCTION("""COMPUTED_VALUE"""),"Blue Steel Sword")</f>
        <v>Blue Steel Sword</v>
      </c>
      <c r="B31" s="2"/>
      <c r="C31" s="2" t="str">
        <f>IFERROR(__xludf.DUMMYFUNCTION("""COMPUTED_VALUE"""),"Sword")</f>
        <v>Sword</v>
      </c>
      <c r="D31" s="2" t="str">
        <f>IFERROR(__xludf.DUMMYFUNCTION("""COMPUTED_VALUE"""),"Hand")</f>
        <v>Hand</v>
      </c>
      <c r="E31" s="2">
        <f>IFERROR(__xludf.DUMMYFUNCTION("""COMPUTED_VALUE"""),40.0)</f>
        <v>40</v>
      </c>
      <c r="F31" s="2" t="str">
        <f>IFERROR(__xludf.DUMMYFUNCTION("""COMPUTED_VALUE"""),"DMG: +1000, Water DMG: +1000")</f>
        <v>DMG: +1000, Water DMG: +1000</v>
      </c>
      <c r="G31" s="2">
        <f>IFERROR(__xludf.DUMMYFUNCTION("""COMPUTED_VALUE"""),60000.0)</f>
        <v>60000</v>
      </c>
      <c r="H31" s="2"/>
      <c r="I31" s="2"/>
      <c r="J31" s="2"/>
      <c r="K31" s="2"/>
      <c r="L31" s="2"/>
      <c r="M31" s="2"/>
      <c r="N31" s="2"/>
      <c r="O31" s="2"/>
      <c r="P31" s="2"/>
      <c r="Q31" s="2"/>
      <c r="R31" s="2"/>
      <c r="S31" s="2"/>
      <c r="T31" s="2"/>
      <c r="U31" s="2"/>
      <c r="V31" s="2"/>
      <c r="W31" s="2"/>
      <c r="X31" s="2"/>
      <c r="Y31" s="2"/>
      <c r="Z31" s="2"/>
    </row>
    <row r="32">
      <c r="A32" s="2" t="str">
        <f>IFERROR(__xludf.DUMMYFUNCTION("""COMPUTED_VALUE"""),"Blunderbuss (Exclusive)")</f>
        <v>Blunderbuss (Exclusive)</v>
      </c>
      <c r="B32" s="2" t="str">
        <f>IFERROR(__xludf.DUMMYFUNCTION("""COMPUTED_VALUE"""),"The feast enjoyed on the first Thanksgiving didn’t hunt itself! The Pilgrims had to forage and hunt before setting the table. You can count on the Blunderbuss to help you when times are rough.")</f>
        <v>The feast enjoyed on the first Thanksgiving didn’t hunt itself! The Pilgrims had to forage and hunt before setting the table. You can count on the Blunderbuss to help you when times are rough.</v>
      </c>
      <c r="C32" s="2" t="str">
        <f>IFERROR(__xludf.DUMMYFUNCTION("""COMPUTED_VALUE"""),"Firearm")</f>
        <v>Firearm</v>
      </c>
      <c r="D32" s="2" t="str">
        <f>IFERROR(__xludf.DUMMYFUNCTION("""COMPUTED_VALUE"""),"Hand")</f>
        <v>Hand</v>
      </c>
      <c r="E32" s="2">
        <f>IFERROR(__xludf.DUMMYFUNCTION("""COMPUTED_VALUE"""),200.0)</f>
        <v>200</v>
      </c>
      <c r="F32" s="2" t="str">
        <f>IFERROR(__xludf.DUMMYFUNCTION("""COMPUTED_VALUE"""),": +50000, Celestial : +50000 ++This weapon will deal x4 damage if you are using the turkey hydra companion. +-You must take a turn to reload this weapon after using it.")</f>
        <v>: +50000, Celestial : +50000 ++This weapon will deal x4 damage if you are using the turkey hydra companion. +-You must take a turn to reload this weapon after using it.</v>
      </c>
      <c r="G32" s="2">
        <f>IFERROR(__xludf.DUMMYFUNCTION("""COMPUTED_VALUE"""),1.99E8)</f>
        <v>199000000</v>
      </c>
      <c r="H32" s="2"/>
      <c r="I32" s="2"/>
      <c r="J32" s="2"/>
      <c r="K32" s="2"/>
      <c r="L32" s="2"/>
      <c r="M32" s="2"/>
      <c r="N32" s="2"/>
      <c r="O32" s="2"/>
      <c r="P32" s="2"/>
      <c r="Q32" s="2"/>
      <c r="R32" s="2"/>
      <c r="S32" s="2"/>
      <c r="T32" s="2"/>
      <c r="U32" s="2"/>
      <c r="V32" s="2"/>
      <c r="W32" s="2"/>
      <c r="X32" s="2"/>
      <c r="Y32" s="2"/>
      <c r="Z32" s="2"/>
    </row>
    <row r="33">
      <c r="A33" s="2" t="str">
        <f>IFERROR(__xludf.DUMMYFUNCTION("""COMPUTED_VALUE"""),"Bone Sword ")</f>
        <v>Bone Sword </v>
      </c>
      <c r="B33" s="2"/>
      <c r="C33" s="2" t="str">
        <f>IFERROR(__xludf.DUMMYFUNCTION("""COMPUTED_VALUE"""),"Sword")</f>
        <v>Sword</v>
      </c>
      <c r="D33" s="2" t="str">
        <f>IFERROR(__xludf.DUMMYFUNCTION("""COMPUTED_VALUE"""),"Hand")</f>
        <v>Hand</v>
      </c>
      <c r="E33" s="2">
        <f>IFERROR(__xludf.DUMMYFUNCTION("""COMPUTED_VALUE"""),300.0)</f>
        <v>300</v>
      </c>
      <c r="F33" s="2" t="str">
        <f>IFERROR(__xludf.DUMMYFUNCTION("""COMPUTED_VALUE"""),"DMG: +5000, Earth DMG: +5000, Dark DMG: +5000 ++X2 Earth damage. ")</f>
        <v>DMG: +5000, Earth DMG: +5000, Dark DMG: +5000 ++X2 Earth damage. </v>
      </c>
      <c r="G33" s="2">
        <f>IFERROR(__xludf.DUMMYFUNCTION("""COMPUTED_VALUE"""),4350000.0)</f>
        <v>4350000</v>
      </c>
      <c r="H33" s="2"/>
      <c r="I33" s="2"/>
      <c r="J33" s="2"/>
      <c r="K33" s="2"/>
      <c r="L33" s="2"/>
      <c r="M33" s="2"/>
      <c r="N33" s="2"/>
      <c r="O33" s="2"/>
      <c r="P33" s="2"/>
      <c r="Q33" s="2"/>
      <c r="R33" s="2"/>
      <c r="S33" s="2"/>
      <c r="T33" s="2"/>
      <c r="U33" s="2"/>
      <c r="V33" s="2"/>
      <c r="W33" s="2"/>
      <c r="X33" s="2"/>
      <c r="Y33" s="2"/>
      <c r="Z33" s="2"/>
    </row>
    <row r="34">
      <c r="A34" s="2" t="str">
        <f>IFERROR(__xludf.DUMMYFUNCTION("""COMPUTED_VALUE"""),"Boots of Waking Waters")</f>
        <v>Boots of Waking Waters</v>
      </c>
      <c r="B34" s="2"/>
      <c r="C34" s="2"/>
      <c r="D34" s="2" t="str">
        <f>IFERROR(__xludf.DUMMYFUNCTION("""COMPUTED_VALUE"""),"Feet")</f>
        <v>Feet</v>
      </c>
      <c r="E34" s="2">
        <f>IFERROR(__xludf.DUMMYFUNCTION("""COMPUTED_VALUE"""),200.0)</f>
        <v>200</v>
      </c>
      <c r="F34" s="2" t="str">
        <f>IFERROR(__xludf.DUMMYFUNCTION("""COMPUTED_VALUE"""),"DEF: +5000, Water DEF: +5000 ++X4 additional water damage for self.")</f>
        <v>DEF: +5000, Water DEF: +5000 ++X4 additional water damage for self.</v>
      </c>
      <c r="G34" s="2">
        <f>IFERROR(__xludf.DUMMYFUNCTION("""COMPUTED_VALUE"""),1900000.0)</f>
        <v>1900000</v>
      </c>
      <c r="H34" s="2"/>
      <c r="I34" s="2"/>
      <c r="J34" s="2"/>
      <c r="K34" s="2"/>
      <c r="L34" s="2"/>
      <c r="M34" s="2"/>
      <c r="N34" s="2"/>
      <c r="O34" s="2"/>
      <c r="P34" s="2"/>
      <c r="Q34" s="2"/>
      <c r="R34" s="2"/>
      <c r="S34" s="2"/>
      <c r="T34" s="2"/>
      <c r="U34" s="2"/>
      <c r="V34" s="2"/>
      <c r="W34" s="2"/>
      <c r="X34" s="2"/>
      <c r="Y34" s="2"/>
      <c r="Z34" s="2"/>
    </row>
    <row r="35">
      <c r="A35" s="2" t="str">
        <f>IFERROR(__xludf.DUMMYFUNCTION("""COMPUTED_VALUE"""),"Bow of Chaotic Darkness")</f>
        <v>Bow of Chaotic Darkness</v>
      </c>
      <c r="B35" s="2"/>
      <c r="C35" s="2" t="str">
        <f>IFERROR(__xludf.DUMMYFUNCTION("""COMPUTED_VALUE"""),"Bow")</f>
        <v>Bow</v>
      </c>
      <c r="D35" s="2" t="str">
        <f>IFERROR(__xludf.DUMMYFUNCTION("""COMPUTED_VALUE"""),"Hand")</f>
        <v>Hand</v>
      </c>
      <c r="E35" s="2">
        <f>IFERROR(__xludf.DUMMYFUNCTION("""COMPUTED_VALUE"""),4400.0)</f>
        <v>4400</v>
      </c>
      <c r="F35" s="2" t="str">
        <f>IFERROR(__xludf.DUMMYFUNCTION("""COMPUTED_VALUE"""),"DMG: +140000, Dark DMG: +40000, Chaos DMG: +40000 ++You may use up to 4 arrows with this bow.")</f>
        <v>DMG: +140000, Dark DMG: +40000, Chaos DMG: +40000 ++You may use up to 4 arrows with this bow.</v>
      </c>
      <c r="G35" s="2">
        <f>IFERROR(__xludf.DUMMYFUNCTION("""COMPUTED_VALUE"""),9.658E8)</f>
        <v>965800000</v>
      </c>
      <c r="H35" s="2"/>
      <c r="I35" s="2"/>
      <c r="J35" s="2"/>
      <c r="K35" s="2"/>
      <c r="L35" s="2"/>
      <c r="M35" s="2"/>
      <c r="N35" s="2"/>
      <c r="O35" s="2"/>
      <c r="P35" s="2"/>
      <c r="Q35" s="2"/>
      <c r="R35" s="2"/>
      <c r="S35" s="2"/>
      <c r="T35" s="2"/>
      <c r="U35" s="2"/>
      <c r="V35" s="2"/>
      <c r="W35" s="2"/>
      <c r="X35" s="2"/>
      <c r="Y35" s="2"/>
      <c r="Z35" s="2"/>
    </row>
    <row r="36">
      <c r="A36" s="2" t="str">
        <f>IFERROR(__xludf.DUMMYFUNCTION("""COMPUTED_VALUE"""),"Bow of Luck")</f>
        <v>Bow of Luck</v>
      </c>
      <c r="B36" s="2"/>
      <c r="C36" s="2" t="str">
        <f>IFERROR(__xludf.DUMMYFUNCTION("""COMPUTED_VALUE"""),"Bow")</f>
        <v>Bow</v>
      </c>
      <c r="D36" s="2" t="str">
        <f>IFERROR(__xludf.DUMMYFUNCTION("""COMPUTED_VALUE"""),"Hand")</f>
        <v>Hand</v>
      </c>
      <c r="E36" s="2">
        <f>IFERROR(__xludf.DUMMYFUNCTION("""COMPUTED_VALUE"""),3000.0)</f>
        <v>3000</v>
      </c>
      <c r="F36" s="2" t="str">
        <f>IFERROR(__xludf.DUMMYFUNCTION("""COMPUTED_VALUE"""),"DMG: +150000 ++You may add mobility to your attack rolls as long as you are attacking with a bow. +-Cannot be forged")</f>
        <v>DMG: +150000 ++You may add mobility to your attack rolls as long as you are attacking with a bow. +-Cannot be forged</v>
      </c>
      <c r="G36" s="2">
        <f>IFERROR(__xludf.DUMMYFUNCTION("""COMPUTED_VALUE"""),4.485E8)</f>
        <v>448500000</v>
      </c>
      <c r="H36" s="2"/>
      <c r="I36" s="2"/>
      <c r="J36" s="2"/>
      <c r="K36" s="2"/>
      <c r="L36" s="2"/>
      <c r="M36" s="2"/>
      <c r="N36" s="2"/>
      <c r="O36" s="2"/>
      <c r="P36" s="2"/>
      <c r="Q36" s="2"/>
      <c r="R36" s="2"/>
      <c r="S36" s="2"/>
      <c r="T36" s="2"/>
      <c r="U36" s="2"/>
      <c r="V36" s="2"/>
      <c r="W36" s="2"/>
      <c r="X36" s="2"/>
      <c r="Y36" s="2"/>
      <c r="Z36" s="2"/>
    </row>
    <row r="37">
      <c r="A37" s="2" t="str">
        <f>IFERROR(__xludf.DUMMYFUNCTION("""COMPUTED_VALUE"""),"Bow of The Sacred Druids")</f>
        <v>Bow of The Sacred Druids</v>
      </c>
      <c r="B37" s="2"/>
      <c r="C37" s="2" t="str">
        <f>IFERROR(__xludf.DUMMYFUNCTION("""COMPUTED_VALUE"""),"Bow")</f>
        <v>Bow</v>
      </c>
      <c r="D37" s="2" t="str">
        <f>IFERROR(__xludf.DUMMYFUNCTION("""COMPUTED_VALUE"""),"Hand")</f>
        <v>Hand</v>
      </c>
      <c r="E37" s="2">
        <f>IFERROR(__xludf.DUMMYFUNCTION("""COMPUTED_VALUE"""),200.0)</f>
        <v>200</v>
      </c>
      <c r="F37" s="2" t="str">
        <f>IFERROR(__xludf.DUMMYFUNCTION("""COMPUTED_VALUE"""),"DMG: +5000, Nature DMG: +5000 ++Druids Call - X4 additional damage for ranged weapons.")</f>
        <v>DMG: +5000, Nature DMG: +5000 ++Druids Call - X4 additional damage for ranged weapons.</v>
      </c>
      <c r="G37" s="2">
        <f>IFERROR(__xludf.DUMMYFUNCTION("""COMPUTED_VALUE"""),1900000.0)</f>
        <v>1900000</v>
      </c>
      <c r="H37" s="2"/>
      <c r="I37" s="2"/>
      <c r="J37" s="2"/>
      <c r="K37" s="2"/>
      <c r="L37" s="2"/>
      <c r="M37" s="2"/>
      <c r="N37" s="2"/>
      <c r="O37" s="2"/>
      <c r="P37" s="2"/>
      <c r="Q37" s="2"/>
      <c r="R37" s="2"/>
      <c r="S37" s="2"/>
      <c r="T37" s="2"/>
      <c r="U37" s="2"/>
      <c r="V37" s="2"/>
      <c r="W37" s="2"/>
      <c r="X37" s="2"/>
      <c r="Y37" s="2"/>
      <c r="Z37" s="2"/>
    </row>
    <row r="38">
      <c r="A38" s="2" t="str">
        <f>IFERROR(__xludf.DUMMYFUNCTION("""COMPUTED_VALUE"""),"Bo Staff Of Zhenmay")</f>
        <v>Bo Staff Of Zhenmay</v>
      </c>
      <c r="B38" s="2"/>
      <c r="C38" s="2" t="str">
        <f>IFERROR(__xludf.DUMMYFUNCTION("""COMPUTED_VALUE"""),"Club")</f>
        <v>Club</v>
      </c>
      <c r="D38" s="2" t="str">
        <f>IFERROR(__xludf.DUMMYFUNCTION("""COMPUTED_VALUE"""),"Hand")</f>
        <v>Hand</v>
      </c>
      <c r="E38" s="2">
        <f>IFERROR(__xludf.DUMMYFUNCTION("""COMPUTED_VALUE"""),3000.0)</f>
        <v>3000</v>
      </c>
      <c r="F38" s="2" t="str">
        <f>IFERROR(__xludf.DUMMYFUNCTION("""COMPUTED_VALUE"""),"DMG: +100000, Zen DMG: +50000 ++Blindness 2. ")</f>
        <v>DMG: +100000, Zen DMG: +50000 ++Blindness 2. </v>
      </c>
      <c r="G38" s="2">
        <f>IFERROR(__xludf.DUMMYFUNCTION("""COMPUTED_VALUE"""),4.485E8)</f>
        <v>448500000</v>
      </c>
      <c r="H38" s="2"/>
      <c r="I38" s="2"/>
      <c r="J38" s="2"/>
      <c r="K38" s="2"/>
      <c r="L38" s="2"/>
      <c r="M38" s="2"/>
      <c r="N38" s="2"/>
      <c r="O38" s="2"/>
      <c r="P38" s="2"/>
      <c r="Q38" s="2"/>
      <c r="R38" s="2"/>
      <c r="S38" s="2"/>
      <c r="T38" s="2"/>
      <c r="U38" s="2"/>
      <c r="V38" s="2"/>
      <c r="W38" s="2"/>
      <c r="X38" s="2"/>
      <c r="Y38" s="2"/>
      <c r="Z38" s="2"/>
    </row>
    <row r="39">
      <c r="A39" s="2" t="str">
        <f>IFERROR(__xludf.DUMMYFUNCTION("""COMPUTED_VALUE"""),"Breezy Clothes")</f>
        <v>Breezy Clothes</v>
      </c>
      <c r="B39" s="2"/>
      <c r="C39" s="2"/>
      <c r="D39" s="2" t="str">
        <f>IFERROR(__xludf.DUMMYFUNCTION("""COMPUTED_VALUE"""),"Torso")</f>
        <v>Torso</v>
      </c>
      <c r="E39" s="2">
        <f>IFERROR(__xludf.DUMMYFUNCTION("""COMPUTED_VALUE"""),1.0)</f>
        <v>1</v>
      </c>
      <c r="F39" s="2" t="str">
        <f>IFERROR(__xludf.DUMMYFUNCTION("""COMPUTED_VALUE""")," ++While equipped, Take half damage from fire damage, But decrease water damage you deal by half. ")</f>
        <v> ++While equipped, Take half damage from fire damage, But decrease water damage you deal by half. </v>
      </c>
      <c r="G39" s="2">
        <f>IFERROR(__xludf.DUMMYFUNCTION("""COMPUTED_VALUE"""),0.0)</f>
        <v>0</v>
      </c>
      <c r="H39" s="2"/>
      <c r="I39" s="2"/>
      <c r="J39" s="2"/>
      <c r="K39" s="2"/>
      <c r="L39" s="2"/>
      <c r="M39" s="2"/>
      <c r="N39" s="2"/>
      <c r="O39" s="2"/>
      <c r="P39" s="2"/>
      <c r="Q39" s="2"/>
      <c r="R39" s="2"/>
      <c r="S39" s="2"/>
      <c r="T39" s="2"/>
      <c r="U39" s="2"/>
      <c r="V39" s="2"/>
      <c r="W39" s="2"/>
      <c r="X39" s="2"/>
      <c r="Y39" s="2"/>
      <c r="Z39" s="2"/>
    </row>
    <row r="40">
      <c r="A40" s="2" t="str">
        <f>IFERROR(__xludf.DUMMYFUNCTION("""COMPUTED_VALUE"""),"Bright Flame Sword")</f>
        <v>Bright Flame Sword</v>
      </c>
      <c r="B40" s="2"/>
      <c r="C40" s="2" t="str">
        <f>IFERROR(__xludf.DUMMYFUNCTION("""COMPUTED_VALUE"""),"Sword")</f>
        <v>Sword</v>
      </c>
      <c r="D40" s="2" t="str">
        <f>IFERROR(__xludf.DUMMYFUNCTION("""COMPUTED_VALUE"""),"Hand")</f>
        <v>Hand</v>
      </c>
      <c r="E40" s="2">
        <f>IFERROR(__xludf.DUMMYFUNCTION("""COMPUTED_VALUE"""),300.0)</f>
        <v>300</v>
      </c>
      <c r="F40" s="2" t="str">
        <f>IFERROR(__xludf.DUMMYFUNCTION("""COMPUTED_VALUE"""),"DMG: +10000, Fire DMG: +5000")</f>
        <v>DMG: +10000, Fire DMG: +5000</v>
      </c>
      <c r="G40" s="2">
        <f>IFERROR(__xludf.DUMMYFUNCTION("""COMPUTED_VALUE"""),4350000.0)</f>
        <v>4350000</v>
      </c>
      <c r="H40" s="2"/>
      <c r="I40" s="2"/>
      <c r="J40" s="2"/>
      <c r="K40" s="2"/>
      <c r="L40" s="2"/>
      <c r="M40" s="2"/>
      <c r="N40" s="2"/>
      <c r="O40" s="2"/>
      <c r="P40" s="2"/>
      <c r="Q40" s="2"/>
      <c r="R40" s="2"/>
      <c r="S40" s="2"/>
      <c r="T40" s="2"/>
      <c r="U40" s="2"/>
      <c r="V40" s="2"/>
      <c r="W40" s="2"/>
      <c r="X40" s="2"/>
      <c r="Y40" s="2"/>
      <c r="Z40" s="2"/>
    </row>
    <row r="41">
      <c r="A41" s="2" t="str">
        <f>IFERROR(__xludf.DUMMYFUNCTION("""COMPUTED_VALUE"""),"Broken Sword")</f>
        <v>Broken Sword</v>
      </c>
      <c r="B41" s="2"/>
      <c r="C41" s="2" t="str">
        <f>IFERROR(__xludf.DUMMYFUNCTION("""COMPUTED_VALUE"""),"Knife")</f>
        <v>Knife</v>
      </c>
      <c r="D41" s="2" t="str">
        <f>IFERROR(__xludf.DUMMYFUNCTION("""COMPUTED_VALUE"""),"Hand")</f>
        <v>Hand</v>
      </c>
      <c r="E41" s="2">
        <f>IFERROR(__xludf.DUMMYFUNCTION("""COMPUTED_VALUE"""),1.0)</f>
        <v>1</v>
      </c>
      <c r="F41" s="2" t="str">
        <f>IFERROR(__xludf.DUMMYFUNCTION("""COMPUTED_VALUE"""),"DMG: +1 ++ -1 evasion")</f>
        <v>DMG: +1 ++ -1 evasion</v>
      </c>
      <c r="G41" s="2">
        <f>IFERROR(__xludf.DUMMYFUNCTION("""COMPUTED_VALUE"""),0.0)</f>
        <v>0</v>
      </c>
      <c r="H41" s="2"/>
      <c r="I41" s="2"/>
      <c r="J41" s="2"/>
      <c r="K41" s="2"/>
      <c r="L41" s="2"/>
      <c r="M41" s="2"/>
      <c r="N41" s="2"/>
      <c r="O41" s="2"/>
      <c r="P41" s="2"/>
      <c r="Q41" s="2"/>
      <c r="R41" s="2"/>
      <c r="S41" s="2"/>
      <c r="T41" s="2"/>
      <c r="U41" s="2"/>
      <c r="V41" s="2"/>
      <c r="W41" s="2"/>
      <c r="X41" s="2"/>
      <c r="Y41" s="2"/>
      <c r="Z41" s="2"/>
    </row>
    <row r="42">
      <c r="A42" s="2" t="str">
        <f>IFERROR(__xludf.DUMMYFUNCTION("""COMPUTED_VALUE"""),"Burning Broadsword")</f>
        <v>Burning Broadsword</v>
      </c>
      <c r="B42" s="2"/>
      <c r="C42" s="2" t="str">
        <f>IFERROR(__xludf.DUMMYFUNCTION("""COMPUTED_VALUE"""),"Sword")</f>
        <v>Sword</v>
      </c>
      <c r="D42" s="2" t="str">
        <f>IFERROR(__xludf.DUMMYFUNCTION("""COMPUTED_VALUE"""),"Hand")</f>
        <v>Hand</v>
      </c>
      <c r="E42" s="2">
        <f>IFERROR(__xludf.DUMMYFUNCTION("""COMPUTED_VALUE"""),200.0)</f>
        <v>200</v>
      </c>
      <c r="F42" s="2" t="str">
        <f>IFERROR(__xludf.DUMMYFUNCTION("""COMPUTED_VALUE"""),"DMG: +5000, Fire DMG: +5000 ++10,000 fire damage per round for 3 rounds.")</f>
        <v>DMG: +5000, Fire DMG: +5000 ++10,000 fire damage per round for 3 rounds.</v>
      </c>
      <c r="G42" s="2">
        <f>IFERROR(__xludf.DUMMYFUNCTION("""COMPUTED_VALUE"""),1900000.0)</f>
        <v>1900000</v>
      </c>
      <c r="H42" s="2"/>
      <c r="I42" s="2"/>
      <c r="J42" s="2"/>
      <c r="K42" s="2"/>
      <c r="L42" s="2"/>
      <c r="M42" s="2"/>
      <c r="N42" s="2"/>
      <c r="O42" s="2"/>
      <c r="P42" s="2"/>
      <c r="Q42" s="2"/>
      <c r="R42" s="2"/>
      <c r="S42" s="2"/>
      <c r="T42" s="2"/>
      <c r="U42" s="2"/>
      <c r="V42" s="2"/>
      <c r="W42" s="2"/>
      <c r="X42" s="2"/>
      <c r="Y42" s="2"/>
      <c r="Z42" s="2"/>
    </row>
    <row r="43">
      <c r="A43" s="2" t="str">
        <f>IFERROR(__xludf.DUMMYFUNCTION("""COMPUTED_VALUE"""),"Candy Corn Necklace")</f>
        <v>Candy Corn Necklace</v>
      </c>
      <c r="B43" s="2" t="str">
        <f>IFERROR(__xludf.DUMMYFUNCTION("""COMPUTED_VALUE"""),"Halloween Exclusive")</f>
        <v>Halloween Exclusive</v>
      </c>
      <c r="C43" s="2"/>
      <c r="D43" s="2" t="str">
        <f>IFERROR(__xludf.DUMMYFUNCTION("""COMPUTED_VALUE"""),"Neck")</f>
        <v>Neck</v>
      </c>
      <c r="E43" s="2">
        <f>IFERROR(__xludf.DUMMYFUNCTION("""COMPUTED_VALUE"""),1.0)</f>
        <v>1</v>
      </c>
      <c r="F43" s="2" t="str">
        <f>IFERROR(__xludf.DUMMYFUNCTION("""COMPUTED_VALUE""")," ++Gives Immunity to Dark and Chaos Damage, ++ +2 Intimidation.")</f>
        <v> ++Gives Immunity to Dark and Chaos Damage, ++ +2 Intimidation.</v>
      </c>
      <c r="G43" s="2">
        <f>IFERROR(__xludf.DUMMYFUNCTION("""COMPUTED_VALUE"""),0.0)</f>
        <v>0</v>
      </c>
      <c r="H43" s="2"/>
      <c r="I43" s="2"/>
      <c r="J43" s="2"/>
      <c r="K43" s="2"/>
      <c r="L43" s="2"/>
      <c r="M43" s="2"/>
      <c r="N43" s="2"/>
      <c r="O43" s="2"/>
      <c r="P43" s="2"/>
      <c r="Q43" s="2"/>
      <c r="R43" s="2"/>
      <c r="S43" s="2"/>
      <c r="T43" s="2"/>
      <c r="U43" s="2"/>
      <c r="V43" s="2"/>
      <c r="W43" s="2"/>
      <c r="X43" s="2"/>
      <c r="Y43" s="2"/>
      <c r="Z43" s="2"/>
    </row>
    <row r="44">
      <c r="A44" s="2" t="str">
        <f>IFERROR(__xludf.DUMMYFUNCTION("""COMPUTED_VALUE"""),"Candy Corn Rifle")</f>
        <v>Candy Corn Rifle</v>
      </c>
      <c r="B44" s="2" t="str">
        <f>IFERROR(__xludf.DUMMYFUNCTION("""COMPUTED_VALUE"""),"Halloween Exclusive")</f>
        <v>Halloween Exclusive</v>
      </c>
      <c r="C44" s="2" t="str">
        <f>IFERROR(__xludf.DUMMYFUNCTION("""COMPUTED_VALUE"""),"Firearm")</f>
        <v>Firearm</v>
      </c>
      <c r="D44" s="2" t="str">
        <f>IFERROR(__xludf.DUMMYFUNCTION("""COMPUTED_VALUE"""),"Hand")</f>
        <v>Hand</v>
      </c>
      <c r="E44" s="2">
        <f>IFERROR(__xludf.DUMMYFUNCTION("""COMPUTED_VALUE"""),200.0)</f>
        <v>200</v>
      </c>
      <c r="F44" s="2" t="str">
        <f>IFERROR(__xludf.DUMMYFUNCTION("""COMPUTED_VALUE"""),"DMG: +10000, Fire DMG: +10000, Dark DMG: +10000, Spirit DMG: +10000, Chaos DMG: +10000, Voodoo DMG: +10000, Blood DMG: +10000, Celestial DMG: +10000 ++Uses Candy Corn as Ammunition. ++Can use mobility when attacking with this weapon. +-Cannot be forged or"&amp;" duplicated. ")</f>
        <v>DMG: +10000, Fire DMG: +10000, Dark DMG: +10000, Spirit DMG: +10000, Chaos DMG: +10000, Voodoo DMG: +10000, Blood DMG: +10000, Celestial DMG: +10000 ++Uses Candy Corn as Ammunition. ++Can use mobility when attacking with this weapon. +-Cannot be forged or duplicated. </v>
      </c>
      <c r="G44" s="2">
        <f>IFERROR(__xludf.DUMMYFUNCTION("""COMPUTED_VALUE"""),1.272E8)</f>
        <v>127200000</v>
      </c>
      <c r="H44" s="2"/>
      <c r="I44" s="2"/>
      <c r="J44" s="2"/>
      <c r="K44" s="2"/>
      <c r="L44" s="2"/>
      <c r="M44" s="2"/>
      <c r="N44" s="2"/>
      <c r="O44" s="2"/>
      <c r="P44" s="2"/>
      <c r="Q44" s="2"/>
      <c r="R44" s="2"/>
      <c r="S44" s="2"/>
      <c r="T44" s="2"/>
      <c r="U44" s="2"/>
      <c r="V44" s="2"/>
      <c r="W44" s="2"/>
      <c r="X44" s="2"/>
      <c r="Y44" s="2"/>
      <c r="Z44" s="2"/>
    </row>
    <row r="45">
      <c r="A45" s="2" t="str">
        <f>IFERROR(__xludf.DUMMYFUNCTION("""COMPUTED_VALUE"""),"Cap of Metal Harmony's")</f>
        <v>Cap of Metal Harmony's</v>
      </c>
      <c r="B45" s="2"/>
      <c r="C45" s="2"/>
      <c r="D45" s="2" t="str">
        <f>IFERROR(__xludf.DUMMYFUNCTION("""COMPUTED_VALUE"""),"Head")</f>
        <v>Head</v>
      </c>
      <c r="E45" s="2">
        <f>IFERROR(__xludf.DUMMYFUNCTION("""COMPUTED_VALUE"""),200.0)</f>
        <v>200</v>
      </c>
      <c r="F45" s="2" t="str">
        <f>IFERROR(__xludf.DUMMYFUNCTION("""COMPUTED_VALUE"""),"DEF: +10000 ++Half the SP cost for Fire, Water, Storm, Earth, and Nature spells.")</f>
        <v>DEF: +10000 ++Half the SP cost for Fire, Water, Storm, Earth, and Nature spells.</v>
      </c>
      <c r="G45" s="2">
        <f>IFERROR(__xludf.DUMMYFUNCTION("""COMPUTED_VALUE"""),1900000.0)</f>
        <v>1900000</v>
      </c>
      <c r="H45" s="2"/>
      <c r="I45" s="2"/>
      <c r="J45" s="2"/>
      <c r="K45" s="2"/>
      <c r="L45" s="2"/>
      <c r="M45" s="2"/>
      <c r="N45" s="2"/>
      <c r="O45" s="2"/>
      <c r="P45" s="2"/>
      <c r="Q45" s="2"/>
      <c r="R45" s="2"/>
      <c r="S45" s="2"/>
      <c r="T45" s="2"/>
      <c r="U45" s="2"/>
      <c r="V45" s="2"/>
      <c r="W45" s="2"/>
      <c r="X45" s="2"/>
      <c r="Y45" s="2"/>
      <c r="Z45" s="2"/>
    </row>
    <row r="46">
      <c r="A46" s="2" t="str">
        <f>IFERROR(__xludf.DUMMYFUNCTION("""COMPUTED_VALUE"""),"Celestian Royal Shield")</f>
        <v>Celestian Royal Shield</v>
      </c>
      <c r="B46" s="2" t="str">
        <f>IFERROR(__xludf.DUMMYFUNCTION("""COMPUTED_VALUE"""),"Quest Item")</f>
        <v>Quest Item</v>
      </c>
      <c r="C46" s="2" t="str">
        <f>IFERROR(__xludf.DUMMYFUNCTION("""COMPUTED_VALUE"""),"Towershield")</f>
        <v>Towershield</v>
      </c>
      <c r="D46" s="2" t="str">
        <f>IFERROR(__xludf.DUMMYFUNCTION("""COMPUTED_VALUE"""),"Hand")</f>
        <v>Hand</v>
      </c>
      <c r="E46" s="2">
        <f>IFERROR(__xludf.DUMMYFUNCTION("""COMPUTED_VALUE"""),200.0)</f>
        <v>200</v>
      </c>
      <c r="F46" s="2" t="str">
        <f>IFERROR(__xludf.DUMMYFUNCTION("""COMPUTED_VALUE"""),"DEF: +100000, Light DEF: +100000, Dark DEF: +100000, Celestial DEF: +100000 ++Royal Protection: Immunity to Celestial. +-Cannot be forged or duplicated.")</f>
        <v>DEF: +100000, Light DEF: +100000, Dark DEF: +100000, Celestial DEF: +100000 ++Royal Protection: Immunity to Celestial. +-Cannot be forged or duplicated.</v>
      </c>
      <c r="G46" s="2">
        <f>IFERROR(__xludf.DUMMYFUNCTION("""COMPUTED_VALUE"""),3.196E9)</f>
        <v>3196000000</v>
      </c>
      <c r="H46" s="2"/>
      <c r="I46" s="2"/>
      <c r="J46" s="2"/>
      <c r="K46" s="2"/>
      <c r="L46" s="2"/>
      <c r="M46" s="2"/>
      <c r="N46" s="2"/>
      <c r="O46" s="2"/>
      <c r="P46" s="2"/>
      <c r="Q46" s="2"/>
      <c r="R46" s="2"/>
      <c r="S46" s="2"/>
      <c r="T46" s="2"/>
      <c r="U46" s="2"/>
      <c r="V46" s="2"/>
      <c r="W46" s="2"/>
      <c r="X46" s="2"/>
      <c r="Y46" s="2"/>
      <c r="Z46" s="2"/>
    </row>
    <row r="47">
      <c r="A47" s="2" t="str">
        <f>IFERROR(__xludf.DUMMYFUNCTION("""COMPUTED_VALUE"""),"Celestian Royal Sword")</f>
        <v>Celestian Royal Sword</v>
      </c>
      <c r="B47" s="2" t="str">
        <f>IFERROR(__xludf.DUMMYFUNCTION("""COMPUTED_VALUE"""),"Quest Item")</f>
        <v>Quest Item</v>
      </c>
      <c r="C47" s="2" t="str">
        <f>IFERROR(__xludf.DUMMYFUNCTION("""COMPUTED_VALUE"""),"Sword")</f>
        <v>Sword</v>
      </c>
      <c r="D47" s="2" t="str">
        <f>IFERROR(__xludf.DUMMYFUNCTION("""COMPUTED_VALUE"""),"Hand")</f>
        <v>Hand</v>
      </c>
      <c r="E47" s="2">
        <f>IFERROR(__xludf.DUMMYFUNCTION("""COMPUTED_VALUE"""),200.0)</f>
        <v>200</v>
      </c>
      <c r="F47" s="2" t="str">
        <f>IFERROR(__xludf.DUMMYFUNCTION("""COMPUTED_VALUE"""),"DMG: +100000, Light DMG: +100000, Dark DMG: +100000, Celestial DMG: +100000 ++X8 Celestial Damage. +-Cannot be forged or duplicated.")</f>
        <v>DMG: +100000, Light DMG: +100000, Dark DMG: +100000, Celestial DMG: +100000 ++X8 Celestial Damage. +-Cannot be forged or duplicated.</v>
      </c>
      <c r="G47" s="2">
        <f>IFERROR(__xludf.DUMMYFUNCTION("""COMPUTED_VALUE"""),3.196E9)</f>
        <v>3196000000</v>
      </c>
      <c r="H47" s="2"/>
      <c r="I47" s="2"/>
      <c r="J47" s="2"/>
      <c r="K47" s="2"/>
      <c r="L47" s="2"/>
      <c r="M47" s="2"/>
      <c r="N47" s="2"/>
      <c r="O47" s="2"/>
      <c r="P47" s="2"/>
      <c r="Q47" s="2"/>
      <c r="R47" s="2"/>
      <c r="S47" s="2"/>
      <c r="T47" s="2"/>
      <c r="U47" s="2"/>
      <c r="V47" s="2"/>
      <c r="W47" s="2"/>
      <c r="X47" s="2"/>
      <c r="Y47" s="2"/>
      <c r="Z47" s="2"/>
    </row>
    <row r="48">
      <c r="A48" s="2" t="str">
        <f>IFERROR(__xludf.DUMMYFUNCTION("""COMPUTED_VALUE"""),"Chain Link Armor")</f>
        <v>Chain Link Armor</v>
      </c>
      <c r="B48" s="2"/>
      <c r="C48" s="2"/>
      <c r="D48" s="2" t="str">
        <f>IFERROR(__xludf.DUMMYFUNCTION("""COMPUTED_VALUE"""),"Torso")</f>
        <v>Torso</v>
      </c>
      <c r="E48" s="2">
        <f>IFERROR(__xludf.DUMMYFUNCTION("""COMPUTED_VALUE"""),40.0)</f>
        <v>40</v>
      </c>
      <c r="F48" s="2" t="str">
        <f>IFERROR(__xludf.DUMMYFUNCTION("""COMPUTED_VALUE"""),"DEF: +2000 ++Wrapped in Chains - When the wearer is attacked with a weapon; 25% chance to make the attacker drop it's weapon.")</f>
        <v>DEF: +2000 ++Wrapped in Chains - When the wearer is attacked with a weapon; 25% chance to make the attacker drop it's weapon.</v>
      </c>
      <c r="G48" s="2">
        <f>IFERROR(__xludf.DUMMYFUNCTION("""COMPUTED_VALUE"""),60000.0)</f>
        <v>60000</v>
      </c>
      <c r="H48" s="2"/>
      <c r="I48" s="2"/>
      <c r="J48" s="2"/>
      <c r="K48" s="2"/>
      <c r="L48" s="2"/>
      <c r="M48" s="2"/>
      <c r="N48" s="2"/>
      <c r="O48" s="2"/>
      <c r="P48" s="2"/>
      <c r="Q48" s="2"/>
      <c r="R48" s="2"/>
      <c r="S48" s="2"/>
      <c r="T48" s="2"/>
      <c r="U48" s="2"/>
      <c r="V48" s="2"/>
      <c r="W48" s="2"/>
      <c r="X48" s="2"/>
      <c r="Y48" s="2"/>
      <c r="Z48" s="2"/>
    </row>
    <row r="49">
      <c r="A49" s="2" t="str">
        <f>IFERROR(__xludf.DUMMYFUNCTION("""COMPUTED_VALUE"""),"Chaos Sword")</f>
        <v>Chaos Sword</v>
      </c>
      <c r="B49" s="2"/>
      <c r="C49" s="2" t="str">
        <f>IFERROR(__xludf.DUMMYFUNCTION("""COMPUTED_VALUE"""),"Sword")</f>
        <v>Sword</v>
      </c>
      <c r="D49" s="2" t="str">
        <f>IFERROR(__xludf.DUMMYFUNCTION("""COMPUTED_VALUE"""),"Hand")</f>
        <v>Hand</v>
      </c>
      <c r="E49" s="2">
        <f>IFERROR(__xludf.DUMMYFUNCTION("""COMPUTED_VALUE"""),90.0)</f>
        <v>90</v>
      </c>
      <c r="F49" s="2" t="str">
        <f>IFERROR(__xludf.DUMMYFUNCTION("""COMPUTED_VALUE"""),"DMG: +2500, Chaos DMG: +2000 ++ +2 Intimidation. +-Cannot be duplicated. +-Can only equip one.")</f>
        <v>DMG: +2500, Chaos DMG: +2000 ++ +2 Intimidation. +-Cannot be duplicated. +-Can only equip one.</v>
      </c>
      <c r="G49" s="2">
        <f>IFERROR(__xludf.DUMMYFUNCTION("""COMPUTED_VALUE"""),360000.0)</f>
        <v>360000</v>
      </c>
      <c r="H49" s="2"/>
      <c r="I49" s="2"/>
      <c r="J49" s="2"/>
      <c r="K49" s="2"/>
      <c r="L49" s="2"/>
      <c r="M49" s="2"/>
      <c r="N49" s="2"/>
      <c r="O49" s="2"/>
      <c r="P49" s="2"/>
      <c r="Q49" s="2"/>
      <c r="R49" s="2"/>
      <c r="S49" s="2"/>
      <c r="T49" s="2"/>
      <c r="U49" s="2"/>
      <c r="V49" s="2"/>
      <c r="W49" s="2"/>
      <c r="X49" s="2"/>
      <c r="Y49" s="2"/>
      <c r="Z49" s="2"/>
    </row>
    <row r="50">
      <c r="A50" s="2" t="str">
        <f>IFERROR(__xludf.DUMMYFUNCTION("""COMPUTED_VALUE"""),"Chaotic Amulet")</f>
        <v>Chaotic Amulet</v>
      </c>
      <c r="B50" s="2"/>
      <c r="C50" s="2"/>
      <c r="D50" s="2" t="str">
        <f>IFERROR(__xludf.DUMMYFUNCTION("""COMPUTED_VALUE"""),"Neck")</f>
        <v>Neck</v>
      </c>
      <c r="E50" s="2">
        <f>IFERROR(__xludf.DUMMYFUNCTION("""COMPUTED_VALUE"""),1.0)</f>
        <v>1</v>
      </c>
      <c r="F50" s="2" t="str">
        <f>IFERROR(__xludf.DUMMYFUNCTION("""COMPUTED_VALUE""")," ++Immunity to all Chaos Dmg, ++Deal 2x more Chaos Dmg.")</f>
        <v> ++Immunity to all Chaos Dmg, ++Deal 2x more Chaos Dmg.</v>
      </c>
      <c r="G50" s="2">
        <f>IFERROR(__xludf.DUMMYFUNCTION("""COMPUTED_VALUE"""),0.0)</f>
        <v>0</v>
      </c>
      <c r="H50" s="2"/>
      <c r="I50" s="2"/>
      <c r="J50" s="2"/>
      <c r="K50" s="2"/>
      <c r="L50" s="2"/>
      <c r="M50" s="2"/>
      <c r="N50" s="2"/>
      <c r="O50" s="2"/>
      <c r="P50" s="2"/>
      <c r="Q50" s="2"/>
      <c r="R50" s="2"/>
      <c r="S50" s="2"/>
      <c r="T50" s="2"/>
      <c r="U50" s="2"/>
      <c r="V50" s="2"/>
      <c r="W50" s="2"/>
      <c r="X50" s="2"/>
      <c r="Y50" s="2"/>
      <c r="Z50" s="2"/>
    </row>
    <row r="51">
      <c r="A51" s="2" t="str">
        <f>IFERROR(__xludf.DUMMYFUNCTION("""COMPUTED_VALUE"""),"Ring")</f>
        <v>Ring</v>
      </c>
      <c r="B51" s="2"/>
      <c r="C51" s="2"/>
      <c r="D51" s="2" t="str">
        <f>IFERROR(__xludf.DUMMYFUNCTION("""COMPUTED_VALUE"""),"Ring")</f>
        <v>Ring</v>
      </c>
      <c r="E51" s="2">
        <f>IFERROR(__xludf.DUMMYFUNCTION("""COMPUTED_VALUE"""),1.0)</f>
        <v>1</v>
      </c>
      <c r="F51" s="2" t="str">
        <f>IFERROR(__xludf.DUMMYFUNCTION("""COMPUTED_VALUE""")," ++X2 additional Chaos and Blood damage")</f>
        <v> ++X2 additional Chaos and Blood damage</v>
      </c>
      <c r="G51" s="2">
        <f>IFERROR(__xludf.DUMMYFUNCTION("""COMPUTED_VALUE"""),0.0)</f>
        <v>0</v>
      </c>
      <c r="H51" s="2"/>
      <c r="I51" s="2"/>
      <c r="J51" s="2"/>
      <c r="K51" s="2"/>
      <c r="L51" s="2"/>
      <c r="M51" s="2"/>
      <c r="N51" s="2"/>
      <c r="O51" s="2"/>
      <c r="P51" s="2"/>
      <c r="Q51" s="2"/>
      <c r="R51" s="2"/>
      <c r="S51" s="2"/>
      <c r="T51" s="2"/>
      <c r="U51" s="2"/>
      <c r="V51" s="2"/>
      <c r="W51" s="2"/>
      <c r="X51" s="2"/>
      <c r="Y51" s="2"/>
      <c r="Z51" s="2"/>
    </row>
    <row r="52">
      <c r="A52" s="2" t="str">
        <f>IFERROR(__xludf.DUMMYFUNCTION("""COMPUTED_VALUE"""),"Chaotic Shadow Life Orb")</f>
        <v>Chaotic Shadow Life Orb</v>
      </c>
      <c r="B52" s="2"/>
      <c r="C52" s="2"/>
      <c r="D52" s="2" t="str">
        <f>IFERROR(__xludf.DUMMYFUNCTION("""COMPUTED_VALUE"""),"Hand")</f>
        <v>Hand</v>
      </c>
      <c r="E52" s="2">
        <f>IFERROR(__xludf.DUMMYFUNCTION("""COMPUTED_VALUE"""),1.0)</f>
        <v>1</v>
      </c>
      <c r="F52" s="2" t="str">
        <f>IFERROR(__xludf.DUMMYFUNCTION("""COMPUTED_VALUE""")," ++Last Chance - Protected from death once per battle, can only use the effect of ""Last Chance"" once per battle.  +-Can only have one equipped. +- Cannot be duplicated.")</f>
        <v> ++Last Chance - Protected from death once per battle, can only use the effect of "Last Chance" once per battle.  +-Can only have one equipped. +- Cannot be duplicated.</v>
      </c>
      <c r="G52" s="2">
        <f>IFERROR(__xludf.DUMMYFUNCTION("""COMPUTED_VALUE"""),0.0)</f>
        <v>0</v>
      </c>
      <c r="H52" s="2"/>
      <c r="I52" s="2"/>
      <c r="J52" s="2"/>
      <c r="K52" s="2"/>
      <c r="L52" s="2"/>
      <c r="M52" s="2"/>
      <c r="N52" s="2"/>
      <c r="O52" s="2"/>
      <c r="P52" s="2"/>
      <c r="Q52" s="2"/>
      <c r="R52" s="2"/>
      <c r="S52" s="2"/>
      <c r="T52" s="2"/>
      <c r="U52" s="2"/>
      <c r="V52" s="2"/>
      <c r="W52" s="2"/>
      <c r="X52" s="2"/>
      <c r="Y52" s="2"/>
      <c r="Z52" s="2"/>
    </row>
    <row r="53">
      <c r="A53" s="2" t="str">
        <f>IFERROR(__xludf.DUMMYFUNCTION("""COMPUTED_VALUE"""),"Charm of Awaken")</f>
        <v>Charm of Awaken</v>
      </c>
      <c r="B53" s="2"/>
      <c r="C53" s="2"/>
      <c r="D53" s="2" t="str">
        <f>IFERROR(__xludf.DUMMYFUNCTION("""COMPUTED_VALUE"""),"Neck")</f>
        <v>Neck</v>
      </c>
      <c r="E53" s="2">
        <f>IFERROR(__xludf.DUMMYFUNCTION("""COMPUTED_VALUE"""),1.0)</f>
        <v>1</v>
      </c>
      <c r="F53" s="2" t="str">
        <f>IFERROR(__xludf.DUMMYFUNCTION("""COMPUTED_VALUE""")," ++Immunity to sleep.")</f>
        <v> ++Immunity to sleep.</v>
      </c>
      <c r="G53" s="2">
        <f>IFERROR(__xludf.DUMMYFUNCTION("""COMPUTED_VALUE"""),0.0)</f>
        <v>0</v>
      </c>
      <c r="H53" s="2"/>
      <c r="I53" s="2"/>
      <c r="J53" s="2"/>
      <c r="K53" s="2"/>
      <c r="L53" s="2"/>
      <c r="M53" s="2"/>
      <c r="N53" s="2"/>
      <c r="O53" s="2"/>
      <c r="P53" s="2"/>
      <c r="Q53" s="2"/>
      <c r="R53" s="2"/>
      <c r="S53" s="2"/>
      <c r="T53" s="2"/>
      <c r="U53" s="2"/>
      <c r="V53" s="2"/>
      <c r="W53" s="2"/>
      <c r="X53" s="2"/>
      <c r="Y53" s="2"/>
      <c r="Z53" s="2"/>
    </row>
    <row r="54">
      <c r="A54" s="2" t="str">
        <f>IFERROR(__xludf.DUMMYFUNCTION("""COMPUTED_VALUE"""),"Chestplate of Foul Night")</f>
        <v>Chestplate of Foul Night</v>
      </c>
      <c r="B54" s="2"/>
      <c r="C54" s="2"/>
      <c r="D54" s="2" t="str">
        <f>IFERROR(__xludf.DUMMYFUNCTION("""COMPUTED_VALUE"""),"Torso")</f>
        <v>Torso</v>
      </c>
      <c r="E54" s="2">
        <f>IFERROR(__xludf.DUMMYFUNCTION("""COMPUTED_VALUE"""),200.0)</f>
        <v>200</v>
      </c>
      <c r="F54" s="2" t="str">
        <f>IFERROR(__xludf.DUMMYFUNCTION("""COMPUTED_VALUE"""),"DEF: +5000, Nature DEF: +5000 (Foul Night Set) ++X2 Nature and Poison damage, ++Poison Immunity.")</f>
        <v>DEF: +5000, Nature DEF: +5000 (Foul Night Set) ++X2 Nature and Poison damage, ++Poison Immunity.</v>
      </c>
      <c r="G54" s="2">
        <f>IFERROR(__xludf.DUMMYFUNCTION("""COMPUTED_VALUE"""),1900000.0)</f>
        <v>1900000</v>
      </c>
      <c r="H54" s="2"/>
      <c r="I54" s="2"/>
      <c r="J54" s="2"/>
      <c r="K54" s="2"/>
      <c r="L54" s="2"/>
      <c r="M54" s="2"/>
      <c r="N54" s="2"/>
      <c r="O54" s="2"/>
      <c r="P54" s="2"/>
      <c r="Q54" s="2"/>
      <c r="R54" s="2"/>
      <c r="S54" s="2"/>
      <c r="T54" s="2"/>
      <c r="U54" s="2"/>
      <c r="V54" s="2"/>
      <c r="W54" s="2"/>
      <c r="X54" s="2"/>
      <c r="Y54" s="2"/>
      <c r="Z54" s="2"/>
    </row>
    <row r="55">
      <c r="A55" s="2" t="str">
        <f>IFERROR(__xludf.DUMMYFUNCTION("""COMPUTED_VALUE"""),"Chestplate of Waking Waters")</f>
        <v>Chestplate of Waking Waters</v>
      </c>
      <c r="B55" s="2"/>
      <c r="C55" s="2"/>
      <c r="D55" s="2" t="str">
        <f>IFERROR(__xludf.DUMMYFUNCTION("""COMPUTED_VALUE"""),"Torso")</f>
        <v>Torso</v>
      </c>
      <c r="E55" s="2">
        <f>IFERROR(__xludf.DUMMYFUNCTION("""COMPUTED_VALUE"""),400.0)</f>
        <v>400</v>
      </c>
      <c r="F55" s="2" t="str">
        <f>IFERROR(__xludf.DUMMYFUNCTION("""COMPUTED_VALUE"""),"DEF: +10000, Water DEF: +10000 ++X4 additional water damage for self.")</f>
        <v>DEF: +10000, Water DEF: +10000 ++X4 additional water damage for self.</v>
      </c>
      <c r="G55" s="2">
        <f>IFERROR(__xludf.DUMMYFUNCTION("""COMPUTED_VALUE"""),7800000.0)</f>
        <v>7800000</v>
      </c>
      <c r="H55" s="2"/>
      <c r="I55" s="2"/>
      <c r="J55" s="2"/>
      <c r="K55" s="2"/>
      <c r="L55" s="2"/>
      <c r="M55" s="2"/>
      <c r="N55" s="2"/>
      <c r="O55" s="2"/>
      <c r="P55" s="2"/>
      <c r="Q55" s="2"/>
      <c r="R55" s="2"/>
      <c r="S55" s="2"/>
      <c r="T55" s="2"/>
      <c r="U55" s="2"/>
      <c r="V55" s="2"/>
      <c r="W55" s="2"/>
      <c r="X55" s="2"/>
      <c r="Y55" s="2"/>
      <c r="Z55" s="2"/>
    </row>
    <row r="56">
      <c r="A56" s="2" t="str">
        <f>IFERROR(__xludf.DUMMYFUNCTION("""COMPUTED_VALUE"""),"Cloth Cap")</f>
        <v>Cloth Cap</v>
      </c>
      <c r="B56" s="2"/>
      <c r="C56" s="2"/>
      <c r="D56" s="2" t="str">
        <f>IFERROR(__xludf.DUMMYFUNCTION("""COMPUTED_VALUE"""),"Head")</f>
        <v>Head</v>
      </c>
      <c r="E56" s="2">
        <f>IFERROR(__xludf.DUMMYFUNCTION("""COMPUTED_VALUE"""),50.0)</f>
        <v>50</v>
      </c>
      <c r="F56" s="2" t="str">
        <f>IFERROR(__xludf.DUMMYFUNCTION("""COMPUTED_VALUE"""),"DEF: +2500")</f>
        <v>DEF: +2500</v>
      </c>
      <c r="G56" s="2">
        <f>IFERROR(__xludf.DUMMYFUNCTION("""COMPUTED_VALUE"""),100000.0)</f>
        <v>100000</v>
      </c>
      <c r="H56" s="2"/>
      <c r="I56" s="2"/>
      <c r="J56" s="2"/>
      <c r="K56" s="2"/>
      <c r="L56" s="2"/>
      <c r="M56" s="2"/>
      <c r="N56" s="2"/>
      <c r="O56" s="2"/>
      <c r="P56" s="2"/>
      <c r="Q56" s="2"/>
      <c r="R56" s="2"/>
      <c r="S56" s="2"/>
      <c r="T56" s="2"/>
      <c r="U56" s="2"/>
      <c r="V56" s="2"/>
      <c r="W56" s="2"/>
      <c r="X56" s="2"/>
      <c r="Y56" s="2"/>
      <c r="Z56" s="2"/>
    </row>
    <row r="57">
      <c r="A57" s="2" t="str">
        <f>IFERROR(__xludf.DUMMYFUNCTION("""COMPUTED_VALUE"""),"Colossus Bone Sword")</f>
        <v>Colossus Bone Sword</v>
      </c>
      <c r="B57" s="2" t="str">
        <f>IFERROR(__xludf.DUMMYFUNCTION("""COMPUTED_VALUE"""),"Mob Exclusive")</f>
        <v>Mob Exclusive</v>
      </c>
      <c r="C57" s="2" t="str">
        <f>IFERROR(__xludf.DUMMYFUNCTION("""COMPUTED_VALUE"""),"Sword")</f>
        <v>Sword</v>
      </c>
      <c r="D57" s="2" t="str">
        <f>IFERROR(__xludf.DUMMYFUNCTION("""COMPUTED_VALUE"""),"Hand")</f>
        <v>Hand</v>
      </c>
      <c r="E57" s="2">
        <f>IFERROR(__xludf.DUMMYFUNCTION("""COMPUTED_VALUE"""),1500.0)</f>
        <v>1500</v>
      </c>
      <c r="F57" s="2" t="str">
        <f>IFERROR(__xludf.DUMMYFUNCTION("""COMPUTED_VALUE"""),"DMG: +25000, Earth DMG: +25000, Dark DMG: +25000 ++X2 additional damage for the user.")</f>
        <v>DMG: +25000, Earth DMG: +25000, Dark DMG: +25000 ++X2 additional damage for the user.</v>
      </c>
      <c r="G57" s="2">
        <f>IFERROR(__xludf.DUMMYFUNCTION("""COMPUTED_VALUE"""),1.1175E8)</f>
        <v>111750000</v>
      </c>
      <c r="H57" s="2"/>
      <c r="I57" s="2"/>
      <c r="J57" s="2"/>
      <c r="K57" s="2"/>
      <c r="L57" s="2"/>
      <c r="M57" s="2"/>
      <c r="N57" s="2"/>
      <c r="O57" s="2"/>
      <c r="P57" s="2"/>
      <c r="Q57" s="2"/>
      <c r="R57" s="2"/>
      <c r="S57" s="2"/>
      <c r="T57" s="2"/>
      <c r="U57" s="2"/>
      <c r="V57" s="2"/>
      <c r="W57" s="2"/>
      <c r="X57" s="2"/>
      <c r="Y57" s="2"/>
      <c r="Z57" s="2"/>
    </row>
    <row r="58">
      <c r="A58" s="2" t="str">
        <f>IFERROR(__xludf.DUMMYFUNCTION("""COMPUTED_VALUE"""),"Coral Hat")</f>
        <v>Coral Hat</v>
      </c>
      <c r="B58" s="2"/>
      <c r="C58" s="2"/>
      <c r="D58" s="2" t="str">
        <f>IFERROR(__xludf.DUMMYFUNCTION("""COMPUTED_VALUE"""),"Head")</f>
        <v>Head</v>
      </c>
      <c r="E58" s="2">
        <f>IFERROR(__xludf.DUMMYFUNCTION("""COMPUTED_VALUE"""),20.0)</f>
        <v>20</v>
      </c>
      <c r="F58" s="2" t="str">
        <f>IFERROR(__xludf.DUMMYFUNCTION("""COMPUTED_VALUE"""),"DEF: +800 ++Immunity to water damage.")</f>
        <v>DEF: +800 ++Immunity to water damage.</v>
      </c>
      <c r="G58" s="2">
        <f>IFERROR(__xludf.DUMMYFUNCTION("""COMPUTED_VALUE"""),1000.0)</f>
        <v>1000</v>
      </c>
      <c r="H58" s="2"/>
      <c r="I58" s="2"/>
      <c r="J58" s="2"/>
      <c r="K58" s="2"/>
      <c r="L58" s="2"/>
      <c r="M58" s="2"/>
      <c r="N58" s="2"/>
      <c r="O58" s="2"/>
      <c r="P58" s="2"/>
      <c r="Q58" s="2"/>
      <c r="R58" s="2"/>
      <c r="S58" s="2"/>
      <c r="T58" s="2"/>
      <c r="U58" s="2"/>
      <c r="V58" s="2"/>
      <c r="W58" s="2"/>
      <c r="X58" s="2"/>
      <c r="Y58" s="2"/>
      <c r="Z58" s="2"/>
    </row>
    <row r="59">
      <c r="A59" s="2" t="str">
        <f>IFERROR(__xludf.DUMMYFUNCTION("""COMPUTED_VALUE"""),"Critical Vanish Armor")</f>
        <v>Critical Vanish Armor</v>
      </c>
      <c r="B59" s="2"/>
      <c r="C59" s="2"/>
      <c r="D59" s="2" t="str">
        <f>IFERROR(__xludf.DUMMYFUNCTION("""COMPUTED_VALUE"""),"Torso")</f>
        <v>Torso</v>
      </c>
      <c r="E59" s="2">
        <f>IFERROR(__xludf.DUMMYFUNCTION("""COMPUTED_VALUE"""),10.0)</f>
        <v>10</v>
      </c>
      <c r="F59" s="2" t="str">
        <f>IFERROR(__xludf.DUMMYFUNCTION("""COMPUTED_VALUE"""),"DEF: +500 ++will negate a critical hit to the wearer")</f>
        <v>DEF: +500 ++will negate a critical hit to the wearer</v>
      </c>
      <c r="G59" s="2">
        <f>IFERROR(__xludf.DUMMYFUNCTION("""COMPUTED_VALUE"""),1000.0)</f>
        <v>1000</v>
      </c>
      <c r="H59" s="2"/>
      <c r="I59" s="2"/>
      <c r="J59" s="2"/>
      <c r="K59" s="2"/>
      <c r="L59" s="2"/>
      <c r="M59" s="2"/>
      <c r="N59" s="2"/>
      <c r="O59" s="2"/>
      <c r="P59" s="2"/>
      <c r="Q59" s="2"/>
      <c r="R59" s="2"/>
      <c r="S59" s="2"/>
      <c r="T59" s="2"/>
      <c r="U59" s="2"/>
      <c r="V59" s="2"/>
      <c r="W59" s="2"/>
      <c r="X59" s="2"/>
      <c r="Y59" s="2"/>
      <c r="Z59" s="2"/>
    </row>
    <row r="60">
      <c r="A60" s="2" t="str">
        <f>IFERROR(__xludf.DUMMYFUNCTION("""COMPUTED_VALUE"""),"Crow Staff")</f>
        <v>Crow Staff</v>
      </c>
      <c r="B60" s="2"/>
      <c r="C60" s="2" t="str">
        <f>IFERROR(__xludf.DUMMYFUNCTION("""COMPUTED_VALUE"""),"Staff")</f>
        <v>Staff</v>
      </c>
      <c r="D60" s="2" t="str">
        <f>IFERROR(__xludf.DUMMYFUNCTION("""COMPUTED_VALUE"""),"Hand")</f>
        <v>Hand</v>
      </c>
      <c r="E60" s="2">
        <f>IFERROR(__xludf.DUMMYFUNCTION("""COMPUTED_VALUE"""),400.0)</f>
        <v>400</v>
      </c>
      <c r="F60" s="2" t="str">
        <f>IFERROR(__xludf.DUMMYFUNCTION("""COMPUTED_VALUE"""),"DMG: +10000, Dark DMG: +10000 ++Swarm: inflicts 10000 bleed to all enemies. +- 300SP")</f>
        <v>DMG: +10000, Dark DMG: +10000 ++Swarm: inflicts 10000 bleed to all enemies. +- 300SP</v>
      </c>
      <c r="G60" s="2">
        <f>IFERROR(__xludf.DUMMYFUNCTION("""COMPUTED_VALUE"""),7800000.0)</f>
        <v>7800000</v>
      </c>
      <c r="H60" s="2"/>
      <c r="I60" s="2"/>
      <c r="J60" s="2"/>
      <c r="K60" s="2"/>
      <c r="L60" s="2"/>
      <c r="M60" s="2"/>
      <c r="N60" s="2"/>
      <c r="O60" s="2"/>
      <c r="P60" s="2"/>
      <c r="Q60" s="2"/>
      <c r="R60" s="2"/>
      <c r="S60" s="2"/>
      <c r="T60" s="2"/>
      <c r="U60" s="2"/>
      <c r="V60" s="2"/>
      <c r="W60" s="2"/>
      <c r="X60" s="2"/>
      <c r="Y60" s="2"/>
      <c r="Z60" s="2"/>
    </row>
    <row r="61">
      <c r="A61" s="2" t="str">
        <f>IFERROR(__xludf.DUMMYFUNCTION("""COMPUTED_VALUE"""),"Crown of Control")</f>
        <v>Crown of Control</v>
      </c>
      <c r="B61" s="2"/>
      <c r="C61" s="2"/>
      <c r="D61" s="2" t="str">
        <f>IFERROR(__xludf.DUMMYFUNCTION("""COMPUTED_VALUE"""),"Head")</f>
        <v>Head</v>
      </c>
      <c r="E61" s="2">
        <f>IFERROR(__xludf.DUMMYFUNCTION("""COMPUTED_VALUE"""),300.0)</f>
        <v>300</v>
      </c>
      <c r="F61" s="2" t="str">
        <f>IFERROR(__xludf.DUMMYFUNCTION("""COMPUTED_VALUE"""),"DEF: +15000 ++Select one target and choose an action for them during your turn (This counts as a form of possession) Fail/Succeed. +-Cannot be duplicated. ")</f>
        <v>DEF: +15000 ++Select one target and choose an action for them during your turn (This counts as a form of possession) Fail/Succeed. +-Cannot be duplicated. </v>
      </c>
      <c r="G61" s="2">
        <f>IFERROR(__xludf.DUMMYFUNCTION("""COMPUTED_VALUE"""),4350000.0)</f>
        <v>4350000</v>
      </c>
      <c r="H61" s="2"/>
      <c r="I61" s="2"/>
      <c r="J61" s="2"/>
      <c r="K61" s="2"/>
      <c r="L61" s="2"/>
      <c r="M61" s="2"/>
      <c r="N61" s="2"/>
      <c r="O61" s="2"/>
      <c r="P61" s="2"/>
      <c r="Q61" s="2"/>
      <c r="R61" s="2"/>
      <c r="S61" s="2"/>
      <c r="T61" s="2"/>
      <c r="U61" s="2"/>
      <c r="V61" s="2"/>
      <c r="W61" s="2"/>
      <c r="X61" s="2"/>
      <c r="Y61" s="2"/>
      <c r="Z61" s="2"/>
    </row>
    <row r="62">
      <c r="A62" s="2" t="str">
        <f>IFERROR(__xludf.DUMMYFUNCTION("""COMPUTED_VALUE"""),"Crown of Ice Spears")</f>
        <v>Crown of Ice Spears</v>
      </c>
      <c r="B62" s="2"/>
      <c r="C62" s="2"/>
      <c r="D62" s="2" t="str">
        <f>IFERROR(__xludf.DUMMYFUNCTION("""COMPUTED_VALUE"""),"Head")</f>
        <v>Head</v>
      </c>
      <c r="E62" s="2">
        <f>IFERROR(__xludf.DUMMYFUNCTION("""COMPUTED_VALUE"""),200.0)</f>
        <v>200</v>
      </c>
      <c r="F62" s="2" t="str">
        <f>IFERROR(__xludf.DUMMYFUNCTION("""COMPUTED_VALUE"""),"DEF: +10000 (The Frozen Spear Master Set) ++Frost Boost- X2 Storm damage. ++All weapon attacks have a 25% chance to freeze whoever you hit")</f>
        <v>DEF: +10000 (The Frozen Spear Master Set) ++Frost Boost- X2 Storm damage. ++All weapon attacks have a 25% chance to freeze whoever you hit</v>
      </c>
      <c r="G62" s="2">
        <f>IFERROR(__xludf.DUMMYFUNCTION("""COMPUTED_VALUE"""),1900000.0)</f>
        <v>1900000</v>
      </c>
      <c r="H62" s="2"/>
      <c r="I62" s="2"/>
      <c r="J62" s="2"/>
      <c r="K62" s="2"/>
      <c r="L62" s="2"/>
      <c r="M62" s="2"/>
      <c r="N62" s="2"/>
      <c r="O62" s="2"/>
      <c r="P62" s="2"/>
      <c r="Q62" s="2"/>
      <c r="R62" s="2"/>
      <c r="S62" s="2"/>
      <c r="T62" s="2"/>
      <c r="U62" s="2"/>
      <c r="V62" s="2"/>
      <c r="W62" s="2"/>
      <c r="X62" s="2"/>
      <c r="Y62" s="2"/>
      <c r="Z62" s="2"/>
    </row>
    <row r="63">
      <c r="A63" s="2" t="str">
        <f>IFERROR(__xludf.DUMMYFUNCTION("""COMPUTED_VALUE"""),"Crown of the Forgotten")</f>
        <v>Crown of the Forgotten</v>
      </c>
      <c r="B63" s="2"/>
      <c r="C63" s="2"/>
      <c r="D63" s="2" t="str">
        <f>IFERROR(__xludf.DUMMYFUNCTION("""COMPUTED_VALUE"""),"Head")</f>
        <v>Head</v>
      </c>
      <c r="E63" s="2">
        <f>IFERROR(__xludf.DUMMYFUNCTION("""COMPUTED_VALUE"""),20.0)</f>
        <v>20</v>
      </c>
      <c r="F63" s="2" t="str">
        <f>IFERROR(__xludf.DUMMYFUNCTION("""COMPUTED_VALUE"""),"DEF: +1000 ++Immunity to Dark, Chaos, Fire, and Nature damage. ++Only Undead can equip. ++This item effect bypasses the Undead race ability. +-Cannot be duplicated.")</f>
        <v>DEF: +1000 ++Immunity to Dark, Chaos, Fire, and Nature damage. ++Only Undead can equip. ++This item effect bypasses the Undead race ability. +-Cannot be duplicated.</v>
      </c>
      <c r="G63" s="2">
        <f>IFERROR(__xludf.DUMMYFUNCTION("""COMPUTED_VALUE"""),10000.0)</f>
        <v>10000</v>
      </c>
      <c r="H63" s="2"/>
      <c r="I63" s="2"/>
      <c r="J63" s="2"/>
      <c r="K63" s="2"/>
      <c r="L63" s="2"/>
      <c r="M63" s="2"/>
      <c r="N63" s="2"/>
      <c r="O63" s="2"/>
      <c r="P63" s="2"/>
      <c r="Q63" s="2"/>
      <c r="R63" s="2"/>
      <c r="S63" s="2"/>
      <c r="T63" s="2"/>
      <c r="U63" s="2"/>
      <c r="V63" s="2"/>
      <c r="W63" s="2"/>
      <c r="X63" s="2"/>
      <c r="Y63" s="2"/>
      <c r="Z63" s="2"/>
    </row>
    <row r="64">
      <c r="A64" s="2" t="str">
        <f>IFERROR(__xludf.DUMMYFUNCTION("""COMPUTED_VALUE"""),"Crown Of The Sea Serpent")</f>
        <v>Crown Of The Sea Serpent</v>
      </c>
      <c r="B64" s="2"/>
      <c r="C64" s="2"/>
      <c r="D64" s="2" t="str">
        <f>IFERROR(__xludf.DUMMYFUNCTION("""COMPUTED_VALUE"""),"Head")</f>
        <v>Head</v>
      </c>
      <c r="E64" s="2">
        <f>IFERROR(__xludf.DUMMYFUNCTION("""COMPUTED_VALUE"""),1.0)</f>
        <v>1</v>
      </c>
      <c r="F64" s="2" t="str">
        <f>IFERROR(__xludf.DUMMYFUNCTION("""COMPUTED_VALUE""")," ++X4 additional water damage for the user, ++Water spells cost half sp, +-Cannot be duplicated.")</f>
        <v> ++X4 additional water damage for the user, ++Water spells cost half sp, +-Cannot be duplicated.</v>
      </c>
      <c r="G64" s="2">
        <f>IFERROR(__xludf.DUMMYFUNCTION("""COMPUTED_VALUE"""),0.0)</f>
        <v>0</v>
      </c>
      <c r="H64" s="2"/>
      <c r="I64" s="2"/>
      <c r="J64" s="2"/>
      <c r="K64" s="2"/>
      <c r="L64" s="2"/>
      <c r="M64" s="2"/>
      <c r="N64" s="2"/>
      <c r="O64" s="2"/>
      <c r="P64" s="2"/>
      <c r="Q64" s="2"/>
      <c r="R64" s="2"/>
      <c r="S64" s="2"/>
      <c r="T64" s="2"/>
      <c r="U64" s="2"/>
      <c r="V64" s="2"/>
      <c r="W64" s="2"/>
      <c r="X64" s="2"/>
      <c r="Y64" s="2"/>
      <c r="Z64" s="2"/>
    </row>
    <row r="65">
      <c r="A65" s="2" t="str">
        <f>IFERROR(__xludf.DUMMYFUNCTION("""COMPUTED_VALUE"""),"Crown Of Tritonoch")</f>
        <v>Crown Of Tritonoch</v>
      </c>
      <c r="B65" s="2"/>
      <c r="C65" s="2"/>
      <c r="D65" s="2" t="str">
        <f>IFERROR(__xludf.DUMMYFUNCTION("""COMPUTED_VALUE"""),"Head")</f>
        <v>Head</v>
      </c>
      <c r="E65" s="2">
        <f>IFERROR(__xludf.DUMMYFUNCTION("""COMPUTED_VALUE"""),400.0)</f>
        <v>400</v>
      </c>
      <c r="F65" s="2" t="str">
        <f>IFERROR(__xludf.DUMMYFUNCTION("""COMPUTED_VALUE"""),"DEF: +20000 ++Waves of Entitlement - x5 additional Water damage")</f>
        <v>DEF: +20000 ++Waves of Entitlement - x5 additional Water damage</v>
      </c>
      <c r="G65" s="2">
        <f>IFERROR(__xludf.DUMMYFUNCTION("""COMPUTED_VALUE"""),7800000.0)</f>
        <v>7800000</v>
      </c>
      <c r="H65" s="2"/>
      <c r="I65" s="2"/>
      <c r="J65" s="2"/>
      <c r="K65" s="2"/>
      <c r="L65" s="2"/>
      <c r="M65" s="2"/>
      <c r="N65" s="2"/>
      <c r="O65" s="2"/>
      <c r="P65" s="2"/>
      <c r="Q65" s="2"/>
      <c r="R65" s="2"/>
      <c r="S65" s="2"/>
      <c r="T65" s="2"/>
      <c r="U65" s="2"/>
      <c r="V65" s="2"/>
      <c r="W65" s="2"/>
      <c r="X65" s="2"/>
      <c r="Y65" s="2"/>
      <c r="Z65" s="2"/>
    </row>
    <row r="66">
      <c r="A66" s="2" t="str">
        <f>IFERROR(__xludf.DUMMYFUNCTION("""COMPUTED_VALUE"""),"Cryogenic Claymore")</f>
        <v>Cryogenic Claymore</v>
      </c>
      <c r="B66" s="2" t="str">
        <f>IFERROR(__xludf.DUMMYFUNCTION("""COMPUTED_VALUE"""),"(The Frozen Blade Master Set)")</f>
        <v>(The Frozen Blade Master Set)</v>
      </c>
      <c r="C66" s="2" t="str">
        <f>IFERROR(__xludf.DUMMYFUNCTION("""COMPUTED_VALUE"""),"Sword")</f>
        <v>Sword</v>
      </c>
      <c r="D66" s="2" t="str">
        <f>IFERROR(__xludf.DUMMYFUNCTION("""COMPUTED_VALUE"""),"Hand")</f>
        <v>Hand</v>
      </c>
      <c r="E66" s="2">
        <f>IFERROR(__xludf.DUMMYFUNCTION("""COMPUTED_VALUE"""),400.0)</f>
        <v>400</v>
      </c>
      <c r="F66" s="2" t="str">
        <f>IFERROR(__xludf.DUMMYFUNCTION("""COMPUTED_VALUE"""),"DMG: +10000, Water DMG: +10000 ++10% chance to freeze all enemies.")</f>
        <v>DMG: +10000, Water DMG: +10000 ++10% chance to freeze all enemies.</v>
      </c>
      <c r="G66" s="2">
        <f>IFERROR(__xludf.DUMMYFUNCTION("""COMPUTED_VALUE"""),7800000.0)</f>
        <v>7800000</v>
      </c>
      <c r="H66" s="2"/>
      <c r="I66" s="2"/>
      <c r="J66" s="2"/>
      <c r="K66" s="2"/>
      <c r="L66" s="2"/>
      <c r="M66" s="2"/>
      <c r="N66" s="2"/>
      <c r="O66" s="2"/>
      <c r="P66" s="2"/>
      <c r="Q66" s="2"/>
      <c r="R66" s="2"/>
      <c r="S66" s="2"/>
      <c r="T66" s="2"/>
      <c r="U66" s="2"/>
      <c r="V66" s="2"/>
      <c r="W66" s="2"/>
      <c r="X66" s="2"/>
      <c r="Y66" s="2"/>
      <c r="Z66" s="2"/>
    </row>
    <row r="67">
      <c r="A67" s="2" t="str">
        <f>IFERROR(__xludf.DUMMYFUNCTION("""COMPUTED_VALUE"""),"Crystal Forged Helmet")</f>
        <v>Crystal Forged Helmet</v>
      </c>
      <c r="B67" s="2"/>
      <c r="C67" s="2"/>
      <c r="D67" s="2" t="str">
        <f>IFERROR(__xludf.DUMMYFUNCTION("""COMPUTED_VALUE"""),"Head")</f>
        <v>Head</v>
      </c>
      <c r="E67" s="2">
        <f>IFERROR(__xludf.DUMMYFUNCTION("""COMPUTED_VALUE"""),200.0)</f>
        <v>200</v>
      </c>
      <c r="F67" s="2" t="str">
        <f>IFERROR(__xludf.DUMMYFUNCTION("""COMPUTED_VALUE"""),"DEF: +10000 ++When equipped, Gem and Crystal related weapons deal an additional X2 damage for the user.")</f>
        <v>DEF: +10000 ++When equipped, Gem and Crystal related weapons deal an additional X2 damage for the user.</v>
      </c>
      <c r="G67" s="2">
        <f>IFERROR(__xludf.DUMMYFUNCTION("""COMPUTED_VALUE"""),1900000.0)</f>
        <v>1900000</v>
      </c>
      <c r="H67" s="2"/>
      <c r="I67" s="2"/>
      <c r="J67" s="2"/>
      <c r="K67" s="2"/>
      <c r="L67" s="2"/>
      <c r="M67" s="2"/>
      <c r="N67" s="2"/>
      <c r="O67" s="2"/>
      <c r="P67" s="2"/>
      <c r="Q67" s="2"/>
      <c r="R67" s="2"/>
      <c r="S67" s="2"/>
      <c r="T67" s="2"/>
      <c r="U67" s="2"/>
      <c r="V67" s="2"/>
      <c r="W67" s="2"/>
      <c r="X67" s="2"/>
      <c r="Y67" s="2"/>
      <c r="Z67" s="2"/>
    </row>
    <row r="68">
      <c r="A68" s="2" t="str">
        <f>IFERROR(__xludf.DUMMYFUNCTION("""COMPUTED_VALUE"""),"Crystal Forged Axe")</f>
        <v>Crystal Forged Axe</v>
      </c>
      <c r="B68" s="2"/>
      <c r="C68" s="2"/>
      <c r="D68" s="2" t="str">
        <f>IFERROR(__xludf.DUMMYFUNCTION("""COMPUTED_VALUE"""),"Hand")</f>
        <v>Hand</v>
      </c>
      <c r="E68" s="2">
        <f>IFERROR(__xludf.DUMMYFUNCTION("""COMPUTED_VALUE"""),400.0)</f>
        <v>400</v>
      </c>
      <c r="F68" s="2" t="str">
        <f>IFERROR(__xludf.DUMMYFUNCTION("""COMPUTED_VALUE"""),"DMG: +10000, Earth DMG: +10000 ++When equipped, Gem and Crystal related weapons deal an additional X6 damage for the user.")</f>
        <v>DMG: +10000, Earth DMG: +10000 ++When equipped, Gem and Crystal related weapons deal an additional X6 damage for the user.</v>
      </c>
      <c r="G68" s="2">
        <f>IFERROR(__xludf.DUMMYFUNCTION("""COMPUTED_VALUE"""),7800000.0)</f>
        <v>7800000</v>
      </c>
      <c r="H68" s="2"/>
      <c r="I68" s="2"/>
      <c r="J68" s="2"/>
      <c r="K68" s="2"/>
      <c r="L68" s="2"/>
      <c r="M68" s="2"/>
      <c r="N68" s="2"/>
      <c r="O68" s="2"/>
      <c r="P68" s="2"/>
      <c r="Q68" s="2"/>
      <c r="R68" s="2"/>
      <c r="S68" s="2"/>
      <c r="T68" s="2"/>
      <c r="U68" s="2"/>
      <c r="V68" s="2"/>
      <c r="W68" s="2"/>
      <c r="X68" s="2"/>
      <c r="Y68" s="2"/>
      <c r="Z68" s="2"/>
    </row>
    <row r="69">
      <c r="A69" s="2" t="str">
        <f>IFERROR(__xludf.DUMMYFUNCTION("""COMPUTED_VALUE"""),"Crystal Forged Chestplate")</f>
        <v>Crystal Forged Chestplate</v>
      </c>
      <c r="B69" s="2"/>
      <c r="C69" s="2"/>
      <c r="D69" s="2" t="str">
        <f>IFERROR(__xludf.DUMMYFUNCTION("""COMPUTED_VALUE"""),"Torso")</f>
        <v>Torso</v>
      </c>
      <c r="E69" s="2">
        <f>IFERROR(__xludf.DUMMYFUNCTION("""COMPUTED_VALUE"""),200.0)</f>
        <v>200</v>
      </c>
      <c r="F69" s="2" t="str">
        <f>IFERROR(__xludf.DUMMYFUNCTION("""COMPUTED_VALUE"""),"DEF: +5000, Earth DEF: +5000 ++When equipped, Gem and Crystal related weapons deal an additional X2 damage for the user.")</f>
        <v>DEF: +5000, Earth DEF: +5000 ++When equipped, Gem and Crystal related weapons deal an additional X2 damage for the user.</v>
      </c>
      <c r="G69" s="2">
        <f>IFERROR(__xludf.DUMMYFUNCTION("""COMPUTED_VALUE"""),1900000.0)</f>
        <v>1900000</v>
      </c>
      <c r="H69" s="2"/>
      <c r="I69" s="2"/>
      <c r="J69" s="2"/>
      <c r="K69" s="2"/>
      <c r="L69" s="2"/>
      <c r="M69" s="2"/>
      <c r="N69" s="2"/>
      <c r="O69" s="2"/>
      <c r="P69" s="2"/>
      <c r="Q69" s="2"/>
      <c r="R69" s="2"/>
      <c r="S69" s="2"/>
      <c r="T69" s="2"/>
      <c r="U69" s="2"/>
      <c r="V69" s="2"/>
      <c r="W69" s="2"/>
      <c r="X69" s="2"/>
      <c r="Y69" s="2"/>
      <c r="Z69" s="2"/>
    </row>
    <row r="70">
      <c r="A70" s="2" t="str">
        <f>IFERROR(__xludf.DUMMYFUNCTION("""COMPUTED_VALUE"""),"Crystal Healing Amulet")</f>
        <v>Crystal Healing Amulet</v>
      </c>
      <c r="B70" s="2"/>
      <c r="C70" s="2"/>
      <c r="D70" s="2" t="str">
        <f>IFERROR(__xludf.DUMMYFUNCTION("""COMPUTED_VALUE"""),"Neck")</f>
        <v>Neck</v>
      </c>
      <c r="E70" s="2">
        <f>IFERROR(__xludf.DUMMYFUNCTION("""COMPUTED_VALUE"""),1.0)</f>
        <v>1</v>
      </c>
      <c r="F70" s="2" t="str">
        <f>IFERROR(__xludf.DUMMYFUNCTION("""COMPUTED_VALUE""")," ++Crystal Aura - Protected from death once per battle, can only use the effect of ""Crystal Aura"" once per battle. +-Can only have one equipped.    +-Cannot be duplicated.")</f>
        <v> ++Crystal Aura - Protected from death once per battle, can only use the effect of "Crystal Aura" once per battle. +-Can only have one equipped.    +-Cannot be duplicated.</v>
      </c>
      <c r="G70" s="2">
        <f>IFERROR(__xludf.DUMMYFUNCTION("""COMPUTED_VALUE"""),0.0)</f>
        <v>0</v>
      </c>
      <c r="H70" s="2"/>
      <c r="I70" s="2"/>
      <c r="J70" s="2"/>
      <c r="K70" s="2"/>
      <c r="L70" s="2"/>
      <c r="M70" s="2"/>
      <c r="N70" s="2"/>
      <c r="O70" s="2"/>
      <c r="P70" s="2"/>
      <c r="Q70" s="2"/>
      <c r="R70" s="2"/>
      <c r="S70" s="2"/>
      <c r="T70" s="2"/>
      <c r="U70" s="2"/>
      <c r="V70" s="2"/>
      <c r="W70" s="2"/>
      <c r="X70" s="2"/>
      <c r="Y70" s="2"/>
      <c r="Z70" s="2"/>
    </row>
    <row r="71">
      <c r="A71" s="2" t="str">
        <f>IFERROR(__xludf.DUMMYFUNCTION("""COMPUTED_VALUE"""),"Crystal Longsword")</f>
        <v>Crystal Longsword</v>
      </c>
      <c r="B71" s="2"/>
      <c r="C71" s="2" t="str">
        <f>IFERROR(__xludf.DUMMYFUNCTION("""COMPUTED_VALUE"""),"Sword")</f>
        <v>Sword</v>
      </c>
      <c r="D71" s="2" t="str">
        <f>IFERROR(__xludf.DUMMYFUNCTION("""COMPUTED_VALUE"""),"Hand")</f>
        <v>Hand</v>
      </c>
      <c r="E71" s="2">
        <f>IFERROR(__xludf.DUMMYFUNCTION("""COMPUTED_VALUE"""),200.0)</f>
        <v>200</v>
      </c>
      <c r="F71" s="2" t="str">
        <f>IFERROR(__xludf.DUMMYFUNCTION("""COMPUTED_VALUE"""),"DMG: +5000, Earth DMG: +5000 ++When equipped, Gem and Crystal related weapons deal an additional X4 damage for the user.")</f>
        <v>DMG: +5000, Earth DMG: +5000 ++When equipped, Gem and Crystal related weapons deal an additional X4 damage for the user.</v>
      </c>
      <c r="G71" s="2">
        <f>IFERROR(__xludf.DUMMYFUNCTION("""COMPUTED_VALUE"""),1900000.0)</f>
        <v>1900000</v>
      </c>
      <c r="H71" s="2"/>
      <c r="I71" s="2"/>
      <c r="J71" s="2"/>
      <c r="K71" s="2"/>
      <c r="L71" s="2"/>
      <c r="M71" s="2"/>
      <c r="N71" s="2"/>
      <c r="O71" s="2"/>
      <c r="P71" s="2"/>
      <c r="Q71" s="2"/>
      <c r="R71" s="2"/>
      <c r="S71" s="2"/>
      <c r="T71" s="2"/>
      <c r="U71" s="2"/>
      <c r="V71" s="2"/>
      <c r="W71" s="2"/>
      <c r="X71" s="2"/>
      <c r="Y71" s="2"/>
      <c r="Z71" s="2"/>
    </row>
    <row r="72">
      <c r="A72" s="2" t="str">
        <f>IFERROR(__xludf.DUMMYFUNCTION("""COMPUTED_VALUE"""),"Crystal Ring")</f>
        <v>Crystal Ring</v>
      </c>
      <c r="B72" s="2"/>
      <c r="C72" s="2"/>
      <c r="D72" s="2" t="str">
        <f>IFERROR(__xludf.DUMMYFUNCTION("""COMPUTED_VALUE"""),"Ring")</f>
        <v>Ring</v>
      </c>
      <c r="E72" s="2">
        <f>IFERROR(__xludf.DUMMYFUNCTION("""COMPUTED_VALUE"""),1.0)</f>
        <v>1</v>
      </c>
      <c r="F72" s="2" t="str">
        <f>IFERROR(__xludf.DUMMYFUNCTION("""COMPUTED_VALUE""")," ++When equipped, Gem and Crystal related weapons deal an additional X2 damage for the user.")</f>
        <v> ++When equipped, Gem and Crystal related weapons deal an additional X2 damage for the user.</v>
      </c>
      <c r="G72" s="2">
        <f>IFERROR(__xludf.DUMMYFUNCTION("""COMPUTED_VALUE"""),0.0)</f>
        <v>0</v>
      </c>
      <c r="H72" s="2"/>
      <c r="I72" s="2"/>
      <c r="J72" s="2"/>
      <c r="K72" s="2"/>
      <c r="L72" s="2"/>
      <c r="M72" s="2"/>
      <c r="N72" s="2"/>
      <c r="O72" s="2"/>
      <c r="P72" s="2"/>
      <c r="Q72" s="2"/>
      <c r="R72" s="2"/>
      <c r="S72" s="2"/>
      <c r="T72" s="2"/>
      <c r="U72" s="2"/>
      <c r="V72" s="2"/>
      <c r="W72" s="2"/>
      <c r="X72" s="2"/>
      <c r="Y72" s="2"/>
      <c r="Z72" s="2"/>
    </row>
    <row r="73">
      <c r="A73" s="2" t="str">
        <f>IFERROR(__xludf.DUMMYFUNCTION("""COMPUTED_VALUE"""),"Crystal Shield")</f>
        <v>Crystal Shield</v>
      </c>
      <c r="B73" s="2"/>
      <c r="C73" s="2" t="str">
        <f>IFERROR(__xludf.DUMMYFUNCTION("""COMPUTED_VALUE"""),"Buckler")</f>
        <v>Buckler</v>
      </c>
      <c r="D73" s="2" t="str">
        <f>IFERROR(__xludf.DUMMYFUNCTION("""COMPUTED_VALUE"""),"Hand")</f>
        <v>Hand</v>
      </c>
      <c r="E73" s="2">
        <f>IFERROR(__xludf.DUMMYFUNCTION("""COMPUTED_VALUE"""),200.0)</f>
        <v>200</v>
      </c>
      <c r="F73" s="2" t="str">
        <f>IFERROR(__xludf.DUMMYFUNCTION("""COMPUTED_VALUE"""),"DEF: +10000 ++Take half damage from Gem and Crystal related weapons.")</f>
        <v>DEF: +10000 ++Take half damage from Gem and Crystal related weapons.</v>
      </c>
      <c r="G73" s="2">
        <f>IFERROR(__xludf.DUMMYFUNCTION("""COMPUTED_VALUE"""),1900000.0)</f>
        <v>1900000</v>
      </c>
      <c r="H73" s="2"/>
      <c r="I73" s="2"/>
      <c r="J73" s="2"/>
      <c r="K73" s="2"/>
      <c r="L73" s="2"/>
      <c r="M73" s="2"/>
      <c r="N73" s="2"/>
      <c r="O73" s="2"/>
      <c r="P73" s="2"/>
      <c r="Q73" s="2"/>
      <c r="R73" s="2"/>
      <c r="S73" s="2"/>
      <c r="T73" s="2"/>
      <c r="U73" s="2"/>
      <c r="V73" s="2"/>
      <c r="W73" s="2"/>
      <c r="X73" s="2"/>
      <c r="Y73" s="2"/>
      <c r="Z73" s="2"/>
    </row>
    <row r="74">
      <c r="A74" s="2" t="str">
        <f>IFERROR(__xludf.DUMMYFUNCTION("""COMPUTED_VALUE"""),"Crystal Staff")</f>
        <v>Crystal Staff</v>
      </c>
      <c r="B74" s="2"/>
      <c r="C74" s="2" t="str">
        <f>IFERROR(__xludf.DUMMYFUNCTION("""COMPUTED_VALUE"""),"Staff")</f>
        <v>Staff</v>
      </c>
      <c r="D74" s="2" t="str">
        <f>IFERROR(__xludf.DUMMYFUNCTION("""COMPUTED_VALUE"""),"Hand")</f>
        <v>Hand</v>
      </c>
      <c r="E74" s="2">
        <f>IFERROR(__xludf.DUMMYFUNCTION("""COMPUTED_VALUE"""),1.0)</f>
        <v>1</v>
      </c>
      <c r="F74" s="2" t="str">
        <f>IFERROR(__xludf.DUMMYFUNCTION("""COMPUTED_VALUE""")," ++Creates a Crystal like barrier around you making it so weapons deal no damage to you for 3 rounds, 500SP. ++1000 Additional HP and SP while equipped.")</f>
        <v> ++Creates a Crystal like barrier around you making it so weapons deal no damage to you for 3 rounds, 500SP. ++1000 Additional HP and SP while equipped.</v>
      </c>
      <c r="G74" s="2">
        <f>IFERROR(__xludf.DUMMYFUNCTION("""COMPUTED_VALUE"""),0.0)</f>
        <v>0</v>
      </c>
      <c r="H74" s="2"/>
      <c r="I74" s="2"/>
      <c r="J74" s="2"/>
      <c r="K74" s="2"/>
      <c r="L74" s="2"/>
      <c r="M74" s="2"/>
      <c r="N74" s="2"/>
      <c r="O74" s="2"/>
      <c r="P74" s="2"/>
      <c r="Q74" s="2"/>
      <c r="R74" s="2"/>
      <c r="S74" s="2"/>
      <c r="T74" s="2"/>
      <c r="U74" s="2"/>
      <c r="V74" s="2"/>
      <c r="W74" s="2"/>
      <c r="X74" s="2"/>
      <c r="Y74" s="2"/>
      <c r="Z74" s="2"/>
    </row>
    <row r="75">
      <c r="A75" s="2" t="str">
        <f>IFERROR(__xludf.DUMMYFUNCTION("""COMPUTED_VALUE"""),"Crystal Sword")</f>
        <v>Crystal Sword</v>
      </c>
      <c r="B75" s="2"/>
      <c r="C75" s="2" t="str">
        <f>IFERROR(__xludf.DUMMYFUNCTION("""COMPUTED_VALUE"""),"Sword")</f>
        <v>Sword</v>
      </c>
      <c r="D75" s="2" t="str">
        <f>IFERROR(__xludf.DUMMYFUNCTION("""COMPUTED_VALUE"""),"Hand")</f>
        <v>Hand</v>
      </c>
      <c r="E75" s="2">
        <f>IFERROR(__xludf.DUMMYFUNCTION("""COMPUTED_VALUE"""),80.0)</f>
        <v>80</v>
      </c>
      <c r="F75" s="2" t="str">
        <f>IFERROR(__xludf.DUMMYFUNCTION("""COMPUTED_VALUE"""),"DMG: +2000, Earth DMG: +2000 ++When equipped, Gem and Crystal related weapons deal an additional X2 damage for the user.")</f>
        <v>DMG: +2000, Earth DMG: +2000 ++When equipped, Gem and Crystal related weapons deal an additional X2 damage for the user.</v>
      </c>
      <c r="G75" s="2">
        <f>IFERROR(__xludf.DUMMYFUNCTION("""COMPUTED_VALUE"""),280000.0)</f>
        <v>280000</v>
      </c>
      <c r="H75" s="2"/>
      <c r="I75" s="2"/>
      <c r="J75" s="2"/>
      <c r="K75" s="2"/>
      <c r="L75" s="2"/>
      <c r="M75" s="2"/>
      <c r="N75" s="2"/>
      <c r="O75" s="2"/>
      <c r="P75" s="2"/>
      <c r="Q75" s="2"/>
      <c r="R75" s="2"/>
      <c r="S75" s="2"/>
      <c r="T75" s="2"/>
      <c r="U75" s="2"/>
      <c r="V75" s="2"/>
      <c r="W75" s="2"/>
      <c r="X75" s="2"/>
      <c r="Y75" s="2"/>
      <c r="Z75" s="2"/>
    </row>
    <row r="76">
      <c r="A76" s="2" t="str">
        <f>IFERROR(__xludf.DUMMYFUNCTION("""COMPUTED_VALUE"""),"Cursed Blade")</f>
        <v>Cursed Blade</v>
      </c>
      <c r="B76" s="2"/>
      <c r="C76" s="2" t="str">
        <f>IFERROR(__xludf.DUMMYFUNCTION("""COMPUTED_VALUE"""),"Sword")</f>
        <v>Sword</v>
      </c>
      <c r="D76" s="2" t="str">
        <f>IFERROR(__xludf.DUMMYFUNCTION("""COMPUTED_VALUE"""),"Hand")</f>
        <v>Hand</v>
      </c>
      <c r="E76" s="2">
        <f>IFERROR(__xludf.DUMMYFUNCTION("""COMPUTED_VALUE"""),620.0)</f>
        <v>620</v>
      </c>
      <c r="F76" s="2" t="str">
        <f>IFERROR(__xludf.DUMMYFUNCTION("""COMPUTED_VALUE"""),"DMG: +30000, Dark DMG: +1000 +- -5 evasion and mobility while equipped.")</f>
        <v>DMG: +30000, Dark DMG: +1000 +- -5 evasion and mobility while equipped.</v>
      </c>
      <c r="G76" s="2">
        <f>IFERROR(__xludf.DUMMYFUNCTION("""COMPUTED_VALUE"""),1.891E7)</f>
        <v>18910000</v>
      </c>
      <c r="H76" s="2"/>
      <c r="I76" s="2"/>
      <c r="J76" s="2"/>
      <c r="K76" s="2"/>
      <c r="L76" s="2"/>
      <c r="M76" s="2"/>
      <c r="N76" s="2"/>
      <c r="O76" s="2"/>
      <c r="P76" s="2"/>
      <c r="Q76" s="2"/>
      <c r="R76" s="2"/>
      <c r="S76" s="2"/>
      <c r="T76" s="2"/>
      <c r="U76" s="2"/>
      <c r="V76" s="2"/>
      <c r="W76" s="2"/>
      <c r="X76" s="2"/>
      <c r="Y76" s="2"/>
      <c r="Z76" s="2"/>
    </row>
    <row r="77">
      <c r="A77" s="2" t="str">
        <f>IFERROR(__xludf.DUMMYFUNCTION("""COMPUTED_VALUE"""),"Cursed Blade of The Void Realm")</f>
        <v>Cursed Blade of The Void Realm</v>
      </c>
      <c r="B77" s="2"/>
      <c r="C77" s="2" t="str">
        <f>IFERROR(__xludf.DUMMYFUNCTION("""COMPUTED_VALUE"""),"Sword")</f>
        <v>Sword</v>
      </c>
      <c r="D77" s="2" t="str">
        <f>IFERROR(__xludf.DUMMYFUNCTION("""COMPUTED_VALUE"""),"Hand")</f>
        <v>Hand</v>
      </c>
      <c r="E77" s="2">
        <f>IFERROR(__xludf.DUMMYFUNCTION("""COMPUTED_VALUE"""),1.0)</f>
        <v>1</v>
      </c>
      <c r="F77" s="2" t="str">
        <f>IFERROR(__xludf.DUMMYFUNCTION("""COMPUTED_VALUE""")," +-When equipped this item cannot be unequipped for 3 rounds, +-Depletes 1000 SP per round.")</f>
        <v> +-When equipped this item cannot be unequipped for 3 rounds, +-Depletes 1000 SP per round.</v>
      </c>
      <c r="G77" s="2">
        <f>IFERROR(__xludf.DUMMYFUNCTION("""COMPUTED_VALUE"""),0.0)</f>
        <v>0</v>
      </c>
      <c r="H77" s="2"/>
      <c r="I77" s="2"/>
      <c r="J77" s="2"/>
      <c r="K77" s="2"/>
      <c r="L77" s="2"/>
      <c r="M77" s="2"/>
      <c r="N77" s="2"/>
      <c r="O77" s="2"/>
      <c r="P77" s="2"/>
      <c r="Q77" s="2"/>
      <c r="R77" s="2"/>
      <c r="S77" s="2"/>
      <c r="T77" s="2"/>
      <c r="U77" s="2"/>
      <c r="V77" s="2"/>
      <c r="W77" s="2"/>
      <c r="X77" s="2"/>
      <c r="Y77" s="2"/>
      <c r="Z77" s="2"/>
    </row>
    <row r="78">
      <c r="A78" s="2" t="str">
        <f>IFERROR(__xludf.DUMMYFUNCTION("""COMPUTED_VALUE"""),"Dagger")</f>
        <v>Dagger</v>
      </c>
      <c r="B78" s="2" t="str">
        <f>IFERROR(__xludf.DUMMYFUNCTION("""COMPUTED_VALUE"""),"The first weapon ")</f>
        <v>The first weapon </v>
      </c>
      <c r="C78" s="2" t="str">
        <f>IFERROR(__xludf.DUMMYFUNCTION("""COMPUTED_VALUE"""),"Knife")</f>
        <v>Knife</v>
      </c>
      <c r="D78" s="2" t="str">
        <f>IFERROR(__xludf.DUMMYFUNCTION("""COMPUTED_VALUE"""),"Hand")</f>
        <v>Hand</v>
      </c>
      <c r="E78" s="2">
        <f>IFERROR(__xludf.DUMMYFUNCTION("""COMPUTED_VALUE"""),20.0)</f>
        <v>20</v>
      </c>
      <c r="F78" s="2" t="str">
        <f>IFERROR(__xludf.DUMMYFUNCTION("""COMPUTED_VALUE"""),"DMG: +1000")</f>
        <v>DMG: +1000</v>
      </c>
      <c r="G78" s="2">
        <f>IFERROR(__xludf.DUMMYFUNCTION("""COMPUTED_VALUE"""),10000.0)</f>
        <v>10000</v>
      </c>
      <c r="H78" s="2"/>
      <c r="I78" s="2"/>
      <c r="J78" s="2"/>
      <c r="K78" s="2"/>
      <c r="L78" s="2"/>
      <c r="M78" s="2"/>
      <c r="N78" s="2"/>
      <c r="O78" s="2"/>
      <c r="P78" s="2"/>
      <c r="Q78" s="2"/>
      <c r="R78" s="2"/>
      <c r="S78" s="2"/>
      <c r="T78" s="2"/>
      <c r="U78" s="2"/>
      <c r="V78" s="2"/>
      <c r="W78" s="2"/>
      <c r="X78" s="2"/>
      <c r="Y78" s="2"/>
      <c r="Z78" s="2"/>
    </row>
    <row r="79">
      <c r="A79" s="2" t="str">
        <f>IFERROR(__xludf.DUMMYFUNCTION("""COMPUTED_VALUE"""),"Dagger of Flowers")</f>
        <v>Dagger of Flowers</v>
      </c>
      <c r="B79" s="2" t="str">
        <f>IFERROR(__xludf.DUMMYFUNCTION("""COMPUTED_VALUE"""),"(Event Exclusive)")</f>
        <v>(Event Exclusive)</v>
      </c>
      <c r="C79" s="2" t="str">
        <f>IFERROR(__xludf.DUMMYFUNCTION("""COMPUTED_VALUE"""),"Knife")</f>
        <v>Knife</v>
      </c>
      <c r="D79" s="2" t="str">
        <f>IFERROR(__xludf.DUMMYFUNCTION("""COMPUTED_VALUE"""),"Hand")</f>
        <v>Hand</v>
      </c>
      <c r="E79" s="2">
        <f>IFERROR(__xludf.DUMMYFUNCTION("""COMPUTED_VALUE"""),90.0)</f>
        <v>90</v>
      </c>
      <c r="F79" s="2" t="str">
        <f>IFERROR(__xludf.DUMMYFUNCTION("""COMPUTED_VALUE"""),"DMG: +3000, Nature DMG: +1500")</f>
        <v>DMG: +3000, Nature DMG: +1500</v>
      </c>
      <c r="G79" s="2">
        <f>IFERROR(__xludf.DUMMYFUNCTION("""COMPUTED_VALUE"""),360000.0)</f>
        <v>360000</v>
      </c>
      <c r="H79" s="2"/>
      <c r="I79" s="2"/>
      <c r="J79" s="2"/>
      <c r="K79" s="2"/>
      <c r="L79" s="2"/>
      <c r="M79" s="2"/>
      <c r="N79" s="2"/>
      <c r="O79" s="2"/>
      <c r="P79" s="2"/>
      <c r="Q79" s="2"/>
      <c r="R79" s="2"/>
      <c r="S79" s="2"/>
      <c r="T79" s="2"/>
      <c r="U79" s="2"/>
      <c r="V79" s="2"/>
      <c r="W79" s="2"/>
      <c r="X79" s="2"/>
      <c r="Y79" s="2"/>
      <c r="Z79" s="2"/>
    </row>
    <row r="80">
      <c r="A80" s="2" t="str">
        <f>IFERROR(__xludf.DUMMYFUNCTION("""COMPUTED_VALUE"""),"Dagger of The Cultist")</f>
        <v>Dagger of The Cultist</v>
      </c>
      <c r="B80" s="2"/>
      <c r="C80" s="2" t="str">
        <f>IFERROR(__xludf.DUMMYFUNCTION("""COMPUTED_VALUE"""),"Knife")</f>
        <v>Knife</v>
      </c>
      <c r="D80" s="2" t="str">
        <f>IFERROR(__xludf.DUMMYFUNCTION("""COMPUTED_VALUE"""),"Hand")</f>
        <v>Hand</v>
      </c>
      <c r="E80" s="2">
        <f>IFERROR(__xludf.DUMMYFUNCTION("""COMPUTED_VALUE"""),120.0)</f>
        <v>120</v>
      </c>
      <c r="F80" s="2" t="str">
        <f>IFERROR(__xludf.DUMMYFUNCTION("""COMPUTED_VALUE"""),"DMG: +2000, Dark DMG: +2000, Chaos DMG: +2000 (Cultist Set) ++25% chance of instant death to the target.")</f>
        <v>DMG: +2000, Dark DMG: +2000, Chaos DMG: +2000 (Cultist Set) ++25% chance of instant death to the target.</v>
      </c>
      <c r="G80" s="2">
        <f>IFERROR(__xludf.DUMMYFUNCTION("""COMPUTED_VALUE"""),660000.0)</f>
        <v>660000</v>
      </c>
      <c r="H80" s="2"/>
      <c r="I80" s="2"/>
      <c r="J80" s="2"/>
      <c r="K80" s="2"/>
      <c r="L80" s="2"/>
      <c r="M80" s="2"/>
      <c r="N80" s="2"/>
      <c r="O80" s="2"/>
      <c r="P80" s="2"/>
      <c r="Q80" s="2"/>
      <c r="R80" s="2"/>
      <c r="S80" s="2"/>
      <c r="T80" s="2"/>
      <c r="U80" s="2"/>
      <c r="V80" s="2"/>
      <c r="W80" s="2"/>
      <c r="X80" s="2"/>
      <c r="Y80" s="2"/>
      <c r="Z80" s="2"/>
    </row>
    <row r="81">
      <c r="A81" s="2" t="str">
        <f>IFERROR(__xludf.DUMMYFUNCTION("""COMPUTED_VALUE"""),"Dark Ice Sword")</f>
        <v>Dark Ice Sword</v>
      </c>
      <c r="B81" s="2"/>
      <c r="C81" s="2" t="str">
        <f>IFERROR(__xludf.DUMMYFUNCTION("""COMPUTED_VALUE"""),"Sword")</f>
        <v>Sword</v>
      </c>
      <c r="D81" s="2" t="str">
        <f>IFERROR(__xludf.DUMMYFUNCTION("""COMPUTED_VALUE"""),"Hand")</f>
        <v>Hand</v>
      </c>
      <c r="E81" s="2">
        <f>IFERROR(__xludf.DUMMYFUNCTION("""COMPUTED_VALUE"""),20.0)</f>
        <v>20</v>
      </c>
      <c r="F81" s="2" t="str">
        <f>IFERROR(__xludf.DUMMYFUNCTION("""COMPUTED_VALUE"""),"DMG: +600 ++25% Chance to freeze target.")</f>
        <v>DMG: +600 ++25% Chance to freeze target.</v>
      </c>
      <c r="G81" s="2">
        <f>IFERROR(__xludf.DUMMYFUNCTION("""COMPUTED_VALUE"""),1000.0)</f>
        <v>1000</v>
      </c>
      <c r="H81" s="2"/>
      <c r="I81" s="2"/>
      <c r="J81" s="2"/>
      <c r="K81" s="2"/>
      <c r="L81" s="2"/>
      <c r="M81" s="2"/>
      <c r="N81" s="2"/>
      <c r="O81" s="2"/>
      <c r="P81" s="2"/>
      <c r="Q81" s="2"/>
      <c r="R81" s="2"/>
      <c r="S81" s="2"/>
      <c r="T81" s="2"/>
      <c r="U81" s="2"/>
      <c r="V81" s="2"/>
      <c r="W81" s="2"/>
      <c r="X81" s="2"/>
      <c r="Y81" s="2"/>
      <c r="Z81" s="2"/>
    </row>
    <row r="82">
      <c r="A82" s="2" t="str">
        <f>IFERROR(__xludf.DUMMYFUNCTION("""COMPUTED_VALUE"""),"Dark Knight Helm")</f>
        <v>Dark Knight Helm</v>
      </c>
      <c r="B82" s="2"/>
      <c r="C82" s="2"/>
      <c r="D82" s="2" t="str">
        <f>IFERROR(__xludf.DUMMYFUNCTION("""COMPUTED_VALUE"""),"Head")</f>
        <v>Head</v>
      </c>
      <c r="E82" s="2">
        <f>IFERROR(__xludf.DUMMYFUNCTION("""COMPUTED_VALUE"""),10.0)</f>
        <v>10</v>
      </c>
      <c r="F82" s="2" t="str">
        <f>IFERROR(__xludf.DUMMYFUNCTION("""COMPUTED_VALUE"""),"DEF: +500 ++Immune to dark damage")</f>
        <v>DEF: +500 ++Immune to dark damage</v>
      </c>
      <c r="G82" s="2">
        <f>IFERROR(__xludf.DUMMYFUNCTION("""COMPUTED_VALUE"""),1000.0)</f>
        <v>1000</v>
      </c>
      <c r="H82" s="2"/>
      <c r="I82" s="2"/>
      <c r="J82" s="2"/>
      <c r="K82" s="2"/>
      <c r="L82" s="2"/>
      <c r="M82" s="2"/>
      <c r="N82" s="2"/>
      <c r="O82" s="2"/>
      <c r="P82" s="2"/>
      <c r="Q82" s="2"/>
      <c r="R82" s="2"/>
      <c r="S82" s="2"/>
      <c r="T82" s="2"/>
      <c r="U82" s="2"/>
      <c r="V82" s="2"/>
      <c r="W82" s="2"/>
      <c r="X82" s="2"/>
      <c r="Y82" s="2"/>
      <c r="Z82" s="2"/>
    </row>
    <row r="83">
      <c r="A83" s="2" t="str">
        <f>IFERROR(__xludf.DUMMYFUNCTION("""COMPUTED_VALUE"""),"Dark Wand")</f>
        <v>Dark Wand</v>
      </c>
      <c r="B83" s="2"/>
      <c r="C83" s="2" t="str">
        <f>IFERROR(__xludf.DUMMYFUNCTION("""COMPUTED_VALUE"""),"Wand")</f>
        <v>Wand</v>
      </c>
      <c r="D83" s="2" t="str">
        <f>IFERROR(__xludf.DUMMYFUNCTION("""COMPUTED_VALUE"""),"Hand")</f>
        <v>Hand</v>
      </c>
      <c r="E83" s="2">
        <f>IFERROR(__xludf.DUMMYFUNCTION("""COMPUTED_VALUE"""),1.0)</f>
        <v>1</v>
      </c>
      <c r="F83" s="2" t="str">
        <f>IFERROR(__xludf.DUMMYFUNCTION("""COMPUTED_VALUE""")," ++Half the SP cost of dark spells")</f>
        <v> ++Half the SP cost of dark spells</v>
      </c>
      <c r="G83" s="2">
        <f>IFERROR(__xludf.DUMMYFUNCTION("""COMPUTED_VALUE"""),0.0)</f>
        <v>0</v>
      </c>
      <c r="H83" s="2"/>
      <c r="I83" s="2"/>
      <c r="J83" s="2"/>
      <c r="K83" s="2"/>
      <c r="L83" s="2"/>
      <c r="M83" s="2"/>
      <c r="N83" s="2"/>
      <c r="O83" s="2"/>
      <c r="P83" s="2"/>
      <c r="Q83" s="2"/>
      <c r="R83" s="2"/>
      <c r="S83" s="2"/>
      <c r="T83" s="2"/>
      <c r="U83" s="2"/>
      <c r="V83" s="2"/>
      <c r="W83" s="2"/>
      <c r="X83" s="2"/>
      <c r="Y83" s="2"/>
      <c r="Z83" s="2"/>
    </row>
    <row r="84">
      <c r="A84" s="2" t="str">
        <f>IFERROR(__xludf.DUMMYFUNCTION("""COMPUTED_VALUE"""),"Dead Forest Blade")</f>
        <v>Dead Forest Blade</v>
      </c>
      <c r="B84" s="2"/>
      <c r="C84" s="2" t="str">
        <f>IFERROR(__xludf.DUMMYFUNCTION("""COMPUTED_VALUE"""),"Sword")</f>
        <v>Sword</v>
      </c>
      <c r="D84" s="2" t="str">
        <f>IFERROR(__xludf.DUMMYFUNCTION("""COMPUTED_VALUE"""),"Hand")</f>
        <v>Hand</v>
      </c>
      <c r="E84" s="2">
        <f>IFERROR(__xludf.DUMMYFUNCTION("""COMPUTED_VALUE"""),180.0)</f>
        <v>180</v>
      </c>
      <c r="F84" s="2" t="str">
        <f>IFERROR(__xludf.DUMMYFUNCTION("""COMPUTED_VALUE"""),"DMG: +5000, Dark DMG: +4000 ++Darkness Embodiment - When Equipped Any dark and chaos weapons and dark and chaos spells will deal an additional X2 damage.")</f>
        <v>DMG: +5000, Dark DMG: +4000 ++Darkness Embodiment - When Equipped Any dark and chaos weapons and dark and chaos spells will deal an additional X2 damage.</v>
      </c>
      <c r="G84" s="2">
        <f>IFERROR(__xludf.DUMMYFUNCTION("""COMPUTED_VALUE"""),1530000.0)</f>
        <v>1530000</v>
      </c>
      <c r="H84" s="2"/>
      <c r="I84" s="2"/>
      <c r="J84" s="2"/>
      <c r="K84" s="2"/>
      <c r="L84" s="2"/>
      <c r="M84" s="2"/>
      <c r="N84" s="2"/>
      <c r="O84" s="2"/>
      <c r="P84" s="2"/>
      <c r="Q84" s="2"/>
      <c r="R84" s="2"/>
      <c r="S84" s="2"/>
      <c r="T84" s="2"/>
      <c r="U84" s="2"/>
      <c r="V84" s="2"/>
      <c r="W84" s="2"/>
      <c r="X84" s="2"/>
      <c r="Y84" s="2"/>
      <c r="Z84" s="2"/>
    </row>
    <row r="85">
      <c r="A85" s="2" t="str">
        <f>IFERROR(__xludf.DUMMYFUNCTION("""COMPUTED_VALUE"""),"Dead Forest Branch")</f>
        <v>Dead Forest Branch</v>
      </c>
      <c r="B85" s="2"/>
      <c r="C85" s="2" t="str">
        <f>IFERROR(__xludf.DUMMYFUNCTION("""COMPUTED_VALUE"""),"Club")</f>
        <v>Club</v>
      </c>
      <c r="D85" s="2" t="str">
        <f>IFERROR(__xludf.DUMMYFUNCTION("""COMPUTED_VALUE"""),"Hand")</f>
        <v>Hand</v>
      </c>
      <c r="E85" s="2">
        <f>IFERROR(__xludf.DUMMYFUNCTION("""COMPUTED_VALUE"""),200.0)</f>
        <v>200</v>
      </c>
      <c r="F85" s="2" t="str">
        <f>IFERROR(__xludf.DUMMYFUNCTION("""COMPUTED_VALUE"""),", Celestial DMG: +10000000 ++This Branch will deal 10,000,000 celestial damage but it has a 95% chance to break")</f>
        <v>, Celestial DMG: +10000000 ++This Branch will deal 10,000,000 celestial damage but it has a 95% chance to break</v>
      </c>
      <c r="G85" s="2">
        <f>IFERROR(__xludf.DUMMYFUNCTION("""COMPUTED_VALUE"""),2.8788E10)</f>
        <v>28788000000</v>
      </c>
      <c r="H85" s="2"/>
      <c r="I85" s="2"/>
      <c r="J85" s="2"/>
      <c r="K85" s="2"/>
      <c r="L85" s="2"/>
      <c r="M85" s="2"/>
      <c r="N85" s="2"/>
      <c r="O85" s="2"/>
      <c r="P85" s="2"/>
      <c r="Q85" s="2"/>
      <c r="R85" s="2"/>
      <c r="S85" s="2"/>
      <c r="T85" s="2"/>
      <c r="U85" s="2"/>
      <c r="V85" s="2"/>
      <c r="W85" s="2"/>
      <c r="X85" s="2"/>
      <c r="Y85" s="2"/>
      <c r="Z85" s="2"/>
    </row>
    <row r="86">
      <c r="A86" s="2" t="str">
        <f>IFERROR(__xludf.DUMMYFUNCTION("""COMPUTED_VALUE"""),"Death's Scythe")</f>
        <v>Death's Scythe</v>
      </c>
      <c r="B86" s="2"/>
      <c r="C86" s="2" t="str">
        <f>IFERROR(__xludf.DUMMYFUNCTION("""COMPUTED_VALUE"""),"Scythe")</f>
        <v>Scythe</v>
      </c>
      <c r="D86" s="2" t="str">
        <f>IFERROR(__xludf.DUMMYFUNCTION("""COMPUTED_VALUE"""),"Hand")</f>
        <v>Hand</v>
      </c>
      <c r="E86" s="2">
        <f>IFERROR(__xludf.DUMMYFUNCTION("""COMPUTED_VALUE"""),600.0)</f>
        <v>600</v>
      </c>
      <c r="F86" s="2" t="str">
        <f>IFERROR(__xludf.DUMMYFUNCTION("""COMPUTED_VALUE"""),"DMG: +10000, Dark DMG: +10000, Chaos DMG: +10000 ++ +2 Intimidation, ++ +2 Wisdom when rolling a wisdom check for traps. +-Cannot be duplicated, +-Can only equip one.")</f>
        <v>DMG: +10000, Dark DMG: +10000, Chaos DMG: +10000 ++ +2 Intimidation, ++ +2 Wisdom when rolling a wisdom check for traps. +-Cannot be duplicated, +-Can only equip one.</v>
      </c>
      <c r="G86" s="2">
        <f>IFERROR(__xludf.DUMMYFUNCTION("""COMPUTED_VALUE"""),1.77E7)</f>
        <v>17700000</v>
      </c>
      <c r="H86" s="2"/>
      <c r="I86" s="2"/>
      <c r="J86" s="2"/>
      <c r="K86" s="2"/>
      <c r="L86" s="2"/>
      <c r="M86" s="2"/>
      <c r="N86" s="2"/>
      <c r="O86" s="2"/>
      <c r="P86" s="2"/>
      <c r="Q86" s="2"/>
      <c r="R86" s="2"/>
      <c r="S86" s="2"/>
      <c r="T86" s="2"/>
      <c r="U86" s="2"/>
      <c r="V86" s="2"/>
      <c r="W86" s="2"/>
      <c r="X86" s="2"/>
      <c r="Y86" s="2"/>
      <c r="Z86" s="2"/>
    </row>
    <row r="87">
      <c r="A87" s="2" t="str">
        <f>IFERROR(__xludf.DUMMYFUNCTION("""COMPUTED_VALUE"""),"Demonic Scythe of Chaos ")</f>
        <v>Demonic Scythe of Chaos </v>
      </c>
      <c r="B87" s="2"/>
      <c r="C87" s="2" t="str">
        <f>IFERROR(__xludf.DUMMYFUNCTION("""COMPUTED_VALUE"""),"Scythe")</f>
        <v>Scythe</v>
      </c>
      <c r="D87" s="2" t="str">
        <f>IFERROR(__xludf.DUMMYFUNCTION("""COMPUTED_VALUE"""),"Hand")</f>
        <v>Hand</v>
      </c>
      <c r="E87" s="2">
        <f>IFERROR(__xludf.DUMMYFUNCTION("""COMPUTED_VALUE"""),3000.0)</f>
        <v>3000</v>
      </c>
      <c r="F87" s="2" t="str">
        <f>IFERROR(__xludf.DUMMYFUNCTION("""COMPUTED_VALUE"""),"DMG: +50000, Fire DMG: +50000, Chaos DMG: +50000 ++X2  Additional Fire and Chaos damage. +-Cannot be duplicated.")</f>
        <v>DMG: +50000, Fire DMG: +50000, Chaos DMG: +50000 ++X2  Additional Fire and Chaos damage. +-Cannot be duplicated.</v>
      </c>
      <c r="G87" s="2">
        <f>IFERROR(__xludf.DUMMYFUNCTION("""COMPUTED_VALUE"""),4.485E8)</f>
        <v>448500000</v>
      </c>
      <c r="H87" s="2"/>
      <c r="I87" s="2"/>
      <c r="J87" s="2"/>
      <c r="K87" s="2"/>
      <c r="L87" s="2"/>
      <c r="M87" s="2"/>
      <c r="N87" s="2"/>
      <c r="O87" s="2"/>
      <c r="P87" s="2"/>
      <c r="Q87" s="2"/>
      <c r="R87" s="2"/>
      <c r="S87" s="2"/>
      <c r="T87" s="2"/>
      <c r="U87" s="2"/>
      <c r="V87" s="2"/>
      <c r="W87" s="2"/>
      <c r="X87" s="2"/>
      <c r="Y87" s="2"/>
      <c r="Z87" s="2"/>
    </row>
    <row r="88">
      <c r="A88" s="2" t="str">
        <f>IFERROR(__xludf.DUMMYFUNCTION("""COMPUTED_VALUE"""),"Demonic Sword of The King")</f>
        <v>Demonic Sword of The King</v>
      </c>
      <c r="B88" s="2"/>
      <c r="C88" s="2" t="str">
        <f>IFERROR(__xludf.DUMMYFUNCTION("""COMPUTED_VALUE"""),"Sword")</f>
        <v>Sword</v>
      </c>
      <c r="D88" s="2" t="str">
        <f>IFERROR(__xludf.DUMMYFUNCTION("""COMPUTED_VALUE"""),"Hand")</f>
        <v>Hand</v>
      </c>
      <c r="E88" s="2">
        <f>IFERROR(__xludf.DUMMYFUNCTION("""COMPUTED_VALUE"""),200.0)</f>
        <v>200</v>
      </c>
      <c r="F88" s="2" t="str">
        <f>IFERROR(__xludf.DUMMYFUNCTION("""COMPUTED_VALUE"""),"DMG: +100000, Fire DMG: +100000, Dark DMG: +50000, Chaos DMG: +50000, Blood DMG: +50000, Celestial DMG: +50000 ++When targeted for an attack you can choose a party member to take the damage instead. +-Cannot be duplicated.")</f>
        <v>DMG: +100000, Fire DMG: +100000, Dark DMG: +50000, Chaos DMG: +50000, Blood DMG: +50000, Celestial DMG: +50000 ++When targeted for an attack you can choose a party member to take the damage instead. +-Cannot be duplicated.</v>
      </c>
      <c r="G88" s="2">
        <f>IFERROR(__xludf.DUMMYFUNCTION("""COMPUTED_VALUE"""),3.196E9)</f>
        <v>3196000000</v>
      </c>
      <c r="H88" s="2"/>
      <c r="I88" s="2"/>
      <c r="J88" s="2"/>
      <c r="K88" s="2"/>
      <c r="L88" s="2"/>
      <c r="M88" s="2"/>
      <c r="N88" s="2"/>
      <c r="O88" s="2"/>
      <c r="P88" s="2"/>
      <c r="Q88" s="2"/>
      <c r="R88" s="2"/>
      <c r="S88" s="2"/>
      <c r="T88" s="2"/>
      <c r="U88" s="2"/>
      <c r="V88" s="2"/>
      <c r="W88" s="2"/>
      <c r="X88" s="2"/>
      <c r="Y88" s="2"/>
      <c r="Z88" s="2"/>
    </row>
    <row r="89">
      <c r="A89" s="2" t="str">
        <f>IFERROR(__xludf.DUMMYFUNCTION("""COMPUTED_VALUE"""),"Dimensional Dagger")</f>
        <v>Dimensional Dagger</v>
      </c>
      <c r="B89" s="2"/>
      <c r="C89" s="2" t="str">
        <f>IFERROR(__xludf.DUMMYFUNCTION("""COMPUTED_VALUE"""),"Knife")</f>
        <v>Knife</v>
      </c>
      <c r="D89" s="2" t="str">
        <f>IFERROR(__xludf.DUMMYFUNCTION("""COMPUTED_VALUE"""),"Hand")</f>
        <v>Hand</v>
      </c>
      <c r="E89" s="2">
        <f>IFERROR(__xludf.DUMMYFUNCTION("""COMPUTED_VALUE"""),200.0)</f>
        <v>200</v>
      </c>
      <c r="F89" s="2" t="str">
        <f>IFERROR(__xludf.DUMMYFUNCTION("""COMPUTED_VALUE"""),"DMG: +5000, Chaos DMG: +5000 ++25% chance to teleport the target being attacked to a random location.")</f>
        <v>DMG: +5000, Chaos DMG: +5000 ++25% chance to teleport the target being attacked to a random location.</v>
      </c>
      <c r="G89" s="2">
        <f>IFERROR(__xludf.DUMMYFUNCTION("""COMPUTED_VALUE"""),1900000.0)</f>
        <v>1900000</v>
      </c>
      <c r="H89" s="2"/>
      <c r="I89" s="2"/>
      <c r="J89" s="2"/>
      <c r="K89" s="2"/>
      <c r="L89" s="2"/>
      <c r="M89" s="2"/>
      <c r="N89" s="2"/>
      <c r="O89" s="2"/>
      <c r="P89" s="2"/>
      <c r="Q89" s="2"/>
      <c r="R89" s="2"/>
      <c r="S89" s="2"/>
      <c r="T89" s="2"/>
      <c r="U89" s="2"/>
      <c r="V89" s="2"/>
      <c r="W89" s="2"/>
      <c r="X89" s="2"/>
      <c r="Y89" s="2"/>
      <c r="Z89" s="2"/>
    </row>
    <row r="90">
      <c r="A90" s="2" t="str">
        <f>IFERROR(__xludf.DUMMYFUNCTION("""COMPUTED_VALUE"""),"Draconic Shield")</f>
        <v>Draconic Shield</v>
      </c>
      <c r="B90" s="2"/>
      <c r="C90" s="2" t="str">
        <f>IFERROR(__xludf.DUMMYFUNCTION("""COMPUTED_VALUE"""),"Towershield")</f>
        <v>Towershield</v>
      </c>
      <c r="D90" s="2" t="str">
        <f>IFERROR(__xludf.DUMMYFUNCTION("""COMPUTED_VALUE"""),"Hand")</f>
        <v>Hand</v>
      </c>
      <c r="E90" s="2">
        <f>IFERROR(__xludf.DUMMYFUNCTION("""COMPUTED_VALUE"""),5000.0)</f>
        <v>5000</v>
      </c>
      <c r="F90" s="2" t="str">
        <f>IFERROR(__xludf.DUMMYFUNCTION("""COMPUTED_VALUE"""),"DEF: +50000, Fire DEF: +50000, Dark DEF: +50000, Chaos DEF: +50000, Blood DEF: +50000 ++Draconic Block - Any damage you take in battle is now reduced to 1 for for the first round of battle.")</f>
        <v>DEF: +50000, Fire DEF: +50000, Dark DEF: +50000, Chaos DEF: +50000, Blood DEF: +50000 ++Draconic Block - Any damage you take in battle is now reduced to 1 for for the first round of battle.</v>
      </c>
      <c r="G90" s="2">
        <f>IFERROR(__xludf.DUMMYFUNCTION("""COMPUTED_VALUE"""),1.2475E9)</f>
        <v>1247500000</v>
      </c>
      <c r="H90" s="2"/>
      <c r="I90" s="2"/>
      <c r="J90" s="2"/>
      <c r="K90" s="2"/>
      <c r="L90" s="2"/>
      <c r="M90" s="2"/>
      <c r="N90" s="2"/>
      <c r="O90" s="2"/>
      <c r="P90" s="2"/>
      <c r="Q90" s="2"/>
      <c r="R90" s="2"/>
      <c r="S90" s="2"/>
      <c r="T90" s="2"/>
      <c r="U90" s="2"/>
      <c r="V90" s="2"/>
      <c r="W90" s="2"/>
      <c r="X90" s="2"/>
      <c r="Y90" s="2"/>
      <c r="Z90" s="2"/>
    </row>
    <row r="91">
      <c r="A91" s="2" t="str">
        <f>IFERROR(__xludf.DUMMYFUNCTION("""COMPUTED_VALUE"""),"Dragon's Skull")</f>
        <v>Dragon's Skull</v>
      </c>
      <c r="B91" s="2"/>
      <c r="C91" s="2"/>
      <c r="D91" s="2" t="str">
        <f>IFERROR(__xludf.DUMMYFUNCTION("""COMPUTED_VALUE"""),"Head")</f>
        <v>Head</v>
      </c>
      <c r="E91" s="2">
        <f>IFERROR(__xludf.DUMMYFUNCTION("""COMPUTED_VALUE"""),200.0)</f>
        <v>200</v>
      </c>
      <c r="F91" s="2" t="str">
        <f>IFERROR(__xludf.DUMMYFUNCTION("""COMPUTED_VALUE"""),"DEF: +10000 ++Any damage that is dealt to the wearer by a dragon is negated. ++(Dragon Tamers Cannot Wear This)")</f>
        <v>DEF: +10000 ++Any damage that is dealt to the wearer by a dragon is negated. ++(Dragon Tamers Cannot Wear This)</v>
      </c>
      <c r="G91" s="2">
        <f>IFERROR(__xludf.DUMMYFUNCTION("""COMPUTED_VALUE"""),1900000.0)</f>
        <v>1900000</v>
      </c>
      <c r="H91" s="2"/>
      <c r="I91" s="2"/>
      <c r="J91" s="2"/>
      <c r="K91" s="2"/>
      <c r="L91" s="2"/>
      <c r="M91" s="2"/>
      <c r="N91" s="2"/>
      <c r="O91" s="2"/>
      <c r="P91" s="2"/>
      <c r="Q91" s="2"/>
      <c r="R91" s="2"/>
      <c r="S91" s="2"/>
      <c r="T91" s="2"/>
      <c r="U91" s="2"/>
      <c r="V91" s="2"/>
      <c r="W91" s="2"/>
      <c r="X91" s="2"/>
      <c r="Y91" s="2"/>
      <c r="Z91" s="2"/>
    </row>
    <row r="92">
      <c r="A92" s="2" t="str">
        <f>IFERROR(__xludf.DUMMYFUNCTION("""COMPUTED_VALUE"""),"Dragonbone Greatsword")</f>
        <v>Dragonbone Greatsword</v>
      </c>
      <c r="B92" s="2"/>
      <c r="C92" s="2" t="str">
        <f>IFERROR(__xludf.DUMMYFUNCTION("""COMPUTED_VALUE"""),"Sword")</f>
        <v>Sword</v>
      </c>
      <c r="D92" s="2" t="str">
        <f>IFERROR(__xludf.DUMMYFUNCTION("""COMPUTED_VALUE"""),"Hand")</f>
        <v>Hand</v>
      </c>
      <c r="E92" s="2">
        <f>IFERROR(__xludf.DUMMYFUNCTION("""COMPUTED_VALUE"""),200.0)</f>
        <v>200</v>
      </c>
      <c r="F92" s="2" t="str">
        <f>IFERROR(__xludf.DUMMYFUNCTION("""COMPUTED_VALUE"""),"DMG: +100000, Fire DMG: +100000, Earth DMG: +100000, Dark DMG: +100000, Blood DMG: +100000, Celestial DMG: +100000 ++If you have a dragon as a companion in the current battle this sword will deal x4 additional fire, earth, dark, blood, and celestial damag"&amp;"e.")</f>
        <v>DMG: +100000, Fire DMG: +100000, Earth DMG: +100000, Dark DMG: +100000, Blood DMG: +100000, Celestial DMG: +100000 ++If you have a dragon as a companion in the current battle this sword will deal x4 additional fire, earth, dark, blood, and celestial damage.</v>
      </c>
      <c r="G92" s="2">
        <f>IFERROR(__xludf.DUMMYFUNCTION("""COMPUTED_VALUE"""),7.194E9)</f>
        <v>7194000000</v>
      </c>
      <c r="H92" s="2"/>
      <c r="I92" s="2"/>
      <c r="J92" s="2"/>
      <c r="K92" s="2"/>
      <c r="L92" s="2"/>
      <c r="M92" s="2"/>
      <c r="N92" s="2"/>
      <c r="O92" s="2"/>
      <c r="P92" s="2"/>
      <c r="Q92" s="2"/>
      <c r="R92" s="2"/>
      <c r="S92" s="2"/>
      <c r="T92" s="2"/>
      <c r="U92" s="2"/>
      <c r="V92" s="2"/>
      <c r="W92" s="2"/>
      <c r="X92" s="2"/>
      <c r="Y92" s="2"/>
      <c r="Z92" s="2"/>
    </row>
    <row r="93">
      <c r="A93" s="2" t="str">
        <f>IFERROR(__xludf.DUMMYFUNCTION("""COMPUTED_VALUE"""),"Dreading Wand Of Fire")</f>
        <v>Dreading Wand Of Fire</v>
      </c>
      <c r="B93" s="2"/>
      <c r="C93" s="2" t="str">
        <f>IFERROR(__xludf.DUMMYFUNCTION("""COMPUTED_VALUE"""),"Wand")</f>
        <v>Wand</v>
      </c>
      <c r="D93" s="2" t="str">
        <f>IFERROR(__xludf.DUMMYFUNCTION("""COMPUTED_VALUE"""),"Hand")</f>
        <v>Hand</v>
      </c>
      <c r="E93" s="2">
        <f>IFERROR(__xludf.DUMMYFUNCTION("""COMPUTED_VALUE"""),1.0)</f>
        <v>1</v>
      </c>
      <c r="F93" s="2" t="str">
        <f>IFERROR(__xludf.DUMMYFUNCTION("""COMPUTED_VALUE""")," ++Half SP costs for fire spells")</f>
        <v> ++Half SP costs for fire spells</v>
      </c>
      <c r="G93" s="2">
        <f>IFERROR(__xludf.DUMMYFUNCTION("""COMPUTED_VALUE"""),0.0)</f>
        <v>0</v>
      </c>
      <c r="H93" s="2"/>
      <c r="I93" s="2"/>
      <c r="J93" s="2"/>
      <c r="K93" s="2"/>
      <c r="L93" s="2"/>
      <c r="M93" s="2"/>
      <c r="N93" s="2"/>
      <c r="O93" s="2"/>
      <c r="P93" s="2"/>
      <c r="Q93" s="2"/>
      <c r="R93" s="2"/>
      <c r="S93" s="2"/>
      <c r="T93" s="2"/>
      <c r="U93" s="2"/>
      <c r="V93" s="2"/>
      <c r="W93" s="2"/>
      <c r="X93" s="2"/>
      <c r="Y93" s="2"/>
      <c r="Z93" s="2"/>
    </row>
    <row r="94">
      <c r="A94" s="2" t="str">
        <f>IFERROR(__xludf.DUMMYFUNCTION("""COMPUTED_VALUE"""),"Dy Yu’s Plated Armor")</f>
        <v>Dy Yu’s Plated Armor</v>
      </c>
      <c r="B94" s="2"/>
      <c r="C94" s="2"/>
      <c r="D94" s="2" t="str">
        <f>IFERROR(__xludf.DUMMYFUNCTION("""COMPUTED_VALUE"""),"Torso")</f>
        <v>Torso</v>
      </c>
      <c r="E94" s="2">
        <f>IFERROR(__xludf.DUMMYFUNCTION("""COMPUTED_VALUE"""),4000.0)</f>
        <v>4000</v>
      </c>
      <c r="F94" s="2" t="str">
        <f>IFERROR(__xludf.DUMMYFUNCTION("""COMPUTED_VALUE"""),"DEF: +50000, Fire DEF: +50000, Earth DEF: +50000, Spirit DEF: +50000 ++Roll a d20 at the beginning of battle, 11 or higher = half the damage taken from the first attack, 10 or lower = take double the damage from the first attack.")</f>
        <v>DEF: +50000, Fire DEF: +50000, Earth DEF: +50000, Spirit DEF: +50000 ++Roll a d20 at the beginning of battle, 11 or higher = half the damage taken from the first attack, 10 or lower = take double the damage from the first attack.</v>
      </c>
      <c r="G94" s="2">
        <f>IFERROR(__xludf.DUMMYFUNCTION("""COMPUTED_VALUE"""),7.98E8)</f>
        <v>798000000</v>
      </c>
      <c r="H94" s="2"/>
      <c r="I94" s="2"/>
      <c r="J94" s="2"/>
      <c r="K94" s="2"/>
      <c r="L94" s="2"/>
      <c r="M94" s="2"/>
      <c r="N94" s="2"/>
      <c r="O94" s="2"/>
      <c r="P94" s="2"/>
      <c r="Q94" s="2"/>
      <c r="R94" s="2"/>
      <c r="S94" s="2"/>
      <c r="T94" s="2"/>
      <c r="U94" s="2"/>
      <c r="V94" s="2"/>
      <c r="W94" s="2"/>
      <c r="X94" s="2"/>
      <c r="Y94" s="2"/>
      <c r="Z94" s="2"/>
    </row>
    <row r="95">
      <c r="A95" s="2" t="str">
        <f>IFERROR(__xludf.DUMMYFUNCTION("""COMPUTED_VALUE"""),"Easters Ring (Exclusive)")</f>
        <v>Easters Ring (Exclusive)</v>
      </c>
      <c r="B95" s="2"/>
      <c r="C95" s="2"/>
      <c r="D95" s="2" t="str">
        <f>IFERROR(__xludf.DUMMYFUNCTION("""COMPUTED_VALUE"""),"Ring")</f>
        <v>Ring</v>
      </c>
      <c r="E95" s="2">
        <f>IFERROR(__xludf.DUMMYFUNCTION("""COMPUTED_VALUE"""),1.0)</f>
        <v>1</v>
      </c>
      <c r="F95" s="2" t="str">
        <f>IFERROR(__xludf.DUMMYFUNCTION("""COMPUTED_VALUE""")," ++Can turn one bad day of travel into a good day of travel. +-Cannot be forged")</f>
        <v> ++Can turn one bad day of travel into a good day of travel. +-Cannot be forged</v>
      </c>
      <c r="G95" s="2">
        <f>IFERROR(__xludf.DUMMYFUNCTION("""COMPUTED_VALUE"""),0.0)</f>
        <v>0</v>
      </c>
      <c r="H95" s="2"/>
      <c r="I95" s="2"/>
      <c r="J95" s="2"/>
      <c r="K95" s="2"/>
      <c r="L95" s="2"/>
      <c r="M95" s="2"/>
      <c r="N95" s="2"/>
      <c r="O95" s="2"/>
      <c r="P95" s="2"/>
      <c r="Q95" s="2"/>
      <c r="R95" s="2"/>
      <c r="S95" s="2"/>
      <c r="T95" s="2"/>
      <c r="U95" s="2"/>
      <c r="V95" s="2"/>
      <c r="W95" s="2"/>
      <c r="X95" s="2"/>
      <c r="Y95" s="2"/>
      <c r="Z95" s="2"/>
    </row>
    <row r="96">
      <c r="A96" s="2" t="str">
        <f>IFERROR(__xludf.DUMMYFUNCTION("""COMPUTED_VALUE"""),"Enchanted Chestplate of Defense")</f>
        <v>Enchanted Chestplate of Defense</v>
      </c>
      <c r="B96" s="2"/>
      <c r="C96" s="2"/>
      <c r="D96" s="2" t="str">
        <f>IFERROR(__xludf.DUMMYFUNCTION("""COMPUTED_VALUE"""),"Torso")</f>
        <v>Torso</v>
      </c>
      <c r="E96" s="2">
        <f>IFERROR(__xludf.DUMMYFUNCTION("""COMPUTED_VALUE"""),100.0)</f>
        <v>100</v>
      </c>
      <c r="F96" s="2" t="str">
        <f>IFERROR(__xludf.DUMMYFUNCTION("""COMPUTED_VALUE"""),"DEF: +5000 ++Damage received by Spells and Weapons are reduced to half when wearing this.")</f>
        <v>DEF: +5000 ++Damage received by Spells and Weapons are reduced to half when wearing this.</v>
      </c>
      <c r="G96" s="2">
        <f>IFERROR(__xludf.DUMMYFUNCTION("""COMPUTED_VALUE"""),450000.0)</f>
        <v>450000</v>
      </c>
      <c r="H96" s="2"/>
      <c r="I96" s="2"/>
      <c r="J96" s="2"/>
      <c r="K96" s="2"/>
      <c r="L96" s="2"/>
      <c r="M96" s="2"/>
      <c r="N96" s="2"/>
      <c r="O96" s="2"/>
      <c r="P96" s="2"/>
      <c r="Q96" s="2"/>
      <c r="R96" s="2"/>
      <c r="S96" s="2"/>
      <c r="T96" s="2"/>
      <c r="U96" s="2"/>
      <c r="V96" s="2"/>
      <c r="W96" s="2"/>
      <c r="X96" s="2"/>
      <c r="Y96" s="2"/>
      <c r="Z96" s="2"/>
    </row>
    <row r="97">
      <c r="A97" s="2" t="str">
        <f>IFERROR(__xludf.DUMMYFUNCTION("""COMPUTED_VALUE"""),"Enchanted Dagger")</f>
        <v>Enchanted Dagger</v>
      </c>
      <c r="B97" s="2"/>
      <c r="C97" s="2" t="str">
        <f>IFERROR(__xludf.DUMMYFUNCTION("""COMPUTED_VALUE"""),"Knife")</f>
        <v>Knife</v>
      </c>
      <c r="D97" s="2" t="str">
        <f>IFERROR(__xludf.DUMMYFUNCTION("""COMPUTED_VALUE"""),"Hand")</f>
        <v>Hand</v>
      </c>
      <c r="E97" s="2">
        <f>IFERROR(__xludf.DUMMYFUNCTION("""COMPUTED_VALUE"""),1.0)</f>
        <v>1</v>
      </c>
      <c r="F97" s="2" t="str">
        <f>IFERROR(__xludf.DUMMYFUNCTION("""COMPUTED_VALUE"""),": +1 ++100% of instantly killing the target.")</f>
        <v>: +1 ++100% of instantly killing the target.</v>
      </c>
      <c r="G97" s="2">
        <f>IFERROR(__xludf.DUMMYFUNCTION("""COMPUTED_VALUE"""),0.0)</f>
        <v>0</v>
      </c>
      <c r="H97" s="2"/>
      <c r="I97" s="2"/>
      <c r="J97" s="2"/>
      <c r="K97" s="2"/>
      <c r="L97" s="2"/>
      <c r="M97" s="2"/>
      <c r="N97" s="2"/>
      <c r="O97" s="2"/>
      <c r="P97" s="2"/>
      <c r="Q97" s="2"/>
      <c r="R97" s="2"/>
      <c r="S97" s="2"/>
      <c r="T97" s="2"/>
      <c r="U97" s="2"/>
      <c r="V97" s="2"/>
      <c r="W97" s="2"/>
      <c r="X97" s="2"/>
      <c r="Y97" s="2"/>
      <c r="Z97" s="2"/>
    </row>
    <row r="98">
      <c r="A98" s="2" t="str">
        <f>IFERROR(__xludf.DUMMYFUNCTION("""COMPUTED_VALUE"""),"Enchanted Falcon Blade")</f>
        <v>Enchanted Falcon Blade</v>
      </c>
      <c r="B98" s="2"/>
      <c r="C98" s="2" t="str">
        <f>IFERROR(__xludf.DUMMYFUNCTION("""COMPUTED_VALUE"""),"Sword")</f>
        <v>Sword</v>
      </c>
      <c r="D98" s="2" t="str">
        <f>IFERROR(__xludf.DUMMYFUNCTION("""COMPUTED_VALUE"""),"Hand")</f>
        <v>Hand</v>
      </c>
      <c r="E98" s="2">
        <f>IFERROR(__xludf.DUMMYFUNCTION("""COMPUTED_VALUE"""),60.0)</f>
        <v>60</v>
      </c>
      <c r="F98" s="2" t="str">
        <f>IFERROR(__xludf.DUMMYFUNCTION("""COMPUTED_VALUE"""),"DMG: +2000, Order DMG: +600 ++Falcon’s Power - All attacks dealt by your weapons will deal double in damage for 3 of your turns when equipped.")</f>
        <v>DMG: +2000, Order DMG: +600 ++Falcon’s Power - All attacks dealt by your weapons will deal double in damage for 3 of your turns when equipped.</v>
      </c>
      <c r="G98" s="2">
        <f>IFERROR(__xludf.DUMMYFUNCTION("""COMPUTED_VALUE"""),100000.0)</f>
        <v>100000</v>
      </c>
      <c r="H98" s="2"/>
      <c r="I98" s="2"/>
      <c r="J98" s="2"/>
      <c r="K98" s="2"/>
      <c r="L98" s="2"/>
      <c r="M98" s="2"/>
      <c r="N98" s="2"/>
      <c r="O98" s="2"/>
      <c r="P98" s="2"/>
      <c r="Q98" s="2"/>
      <c r="R98" s="2"/>
      <c r="S98" s="2"/>
      <c r="T98" s="2"/>
      <c r="U98" s="2"/>
      <c r="V98" s="2"/>
      <c r="W98" s="2"/>
      <c r="X98" s="2"/>
      <c r="Y98" s="2"/>
      <c r="Z98" s="2"/>
    </row>
    <row r="99">
      <c r="A99" s="2" t="str">
        <f>IFERROR(__xludf.DUMMYFUNCTION("""COMPUTED_VALUE"""),"Energy Prong")</f>
        <v>Energy Prong</v>
      </c>
      <c r="B99" s="2"/>
      <c r="C99" s="2" t="str">
        <f>IFERROR(__xludf.DUMMYFUNCTION("""COMPUTED_VALUE"""),"Spear")</f>
        <v>Spear</v>
      </c>
      <c r="D99" s="2" t="str">
        <f>IFERROR(__xludf.DUMMYFUNCTION("""COMPUTED_VALUE"""),"Hand")</f>
        <v>Hand</v>
      </c>
      <c r="E99" s="2">
        <f>IFERROR(__xludf.DUMMYFUNCTION("""COMPUTED_VALUE"""),10.0)</f>
        <v>10</v>
      </c>
      <c r="F99" s="2" t="str">
        <f>IFERROR(__xludf.DUMMYFUNCTION("""COMPUTED_VALUE"""),"DMG: +500 ++50% chance of stun 3.")</f>
        <v>DMG: +500 ++50% chance of stun 3.</v>
      </c>
      <c r="G99" s="2">
        <f>IFERROR(__xludf.DUMMYFUNCTION("""COMPUTED_VALUE"""),1000.0)</f>
        <v>1000</v>
      </c>
      <c r="H99" s="2"/>
      <c r="I99" s="2"/>
      <c r="J99" s="2"/>
      <c r="K99" s="2"/>
      <c r="L99" s="2"/>
      <c r="M99" s="2"/>
      <c r="N99" s="2"/>
      <c r="O99" s="2"/>
      <c r="P99" s="2"/>
      <c r="Q99" s="2"/>
      <c r="R99" s="2"/>
      <c r="S99" s="2"/>
      <c r="T99" s="2"/>
      <c r="U99" s="2"/>
      <c r="V99" s="2"/>
      <c r="W99" s="2"/>
      <c r="X99" s="2"/>
      <c r="Y99" s="2"/>
      <c r="Z99" s="2"/>
    </row>
    <row r="100">
      <c r="A100" s="2" t="str">
        <f>IFERROR(__xludf.DUMMYFUNCTION("""COMPUTED_VALUE"""),"Faery Kings Sword")</f>
        <v>Faery Kings Sword</v>
      </c>
      <c r="B100" s="2"/>
      <c r="C100" s="2" t="str">
        <f>IFERROR(__xludf.DUMMYFUNCTION("""COMPUTED_VALUE"""),"Sword")</f>
        <v>Sword</v>
      </c>
      <c r="D100" s="2" t="str">
        <f>IFERROR(__xludf.DUMMYFUNCTION("""COMPUTED_VALUE"""),"Hand")</f>
        <v>Hand</v>
      </c>
      <c r="E100" s="2">
        <f>IFERROR(__xludf.DUMMYFUNCTION("""COMPUTED_VALUE"""),200.0)</f>
        <v>200</v>
      </c>
      <c r="F100" s="2" t="str">
        <f>IFERROR(__xludf.DUMMYFUNCTION("""COMPUTED_VALUE"""),"DMG: +500000, Nature DMG: +25000, Celestial DMG: +25000")</f>
        <v>DMG: +500000, Nature DMG: +25000, Celestial DMG: +25000</v>
      </c>
      <c r="G100" s="2">
        <f>IFERROR(__xludf.DUMMYFUNCTION("""COMPUTED_VALUE"""),6.0445E9)</f>
        <v>6044500000</v>
      </c>
      <c r="H100" s="2"/>
      <c r="I100" s="2"/>
      <c r="J100" s="2"/>
      <c r="K100" s="2"/>
      <c r="L100" s="2"/>
      <c r="M100" s="2"/>
      <c r="N100" s="2"/>
      <c r="O100" s="2"/>
      <c r="P100" s="2"/>
      <c r="Q100" s="2"/>
      <c r="R100" s="2"/>
      <c r="S100" s="2"/>
      <c r="T100" s="2"/>
      <c r="U100" s="2"/>
      <c r="V100" s="2"/>
      <c r="W100" s="2"/>
      <c r="X100" s="2"/>
      <c r="Y100" s="2"/>
      <c r="Z100" s="2"/>
    </row>
    <row r="101">
      <c r="A101" s="2" t="str">
        <f>IFERROR(__xludf.DUMMYFUNCTION("""COMPUTED_VALUE"""),"False Helmet")</f>
        <v>False Helmet</v>
      </c>
      <c r="B101" s="2"/>
      <c r="C101" s="2"/>
      <c r="D101" s="2" t="str">
        <f>IFERROR(__xludf.DUMMYFUNCTION("""COMPUTED_VALUE"""),"Head")</f>
        <v>Head</v>
      </c>
      <c r="E101" s="2">
        <f>IFERROR(__xludf.DUMMYFUNCTION("""COMPUTED_VALUE"""),1.0)</f>
        <v>1</v>
      </c>
      <c r="F101" s="2" t="str">
        <f>IFERROR(__xludf.DUMMYFUNCTION("""COMPUTED_VALUE""")," ++ ++5 Intimidation, ++ - 2 Charisma. +-Cannot be forged +-Cannot be duplicated.")</f>
        <v> ++ ++5 Intimidation, ++ - 2 Charisma. +-Cannot be forged +-Cannot be duplicated.</v>
      </c>
      <c r="G101" s="2">
        <f>IFERROR(__xludf.DUMMYFUNCTION("""COMPUTED_VALUE"""),0.0)</f>
        <v>0</v>
      </c>
      <c r="H101" s="2"/>
      <c r="I101" s="2"/>
      <c r="J101" s="2"/>
      <c r="K101" s="2"/>
      <c r="L101" s="2"/>
      <c r="M101" s="2"/>
      <c r="N101" s="2"/>
      <c r="O101" s="2"/>
      <c r="P101" s="2"/>
      <c r="Q101" s="2"/>
      <c r="R101" s="2"/>
      <c r="S101" s="2"/>
      <c r="T101" s="2"/>
      <c r="U101" s="2"/>
      <c r="V101" s="2"/>
      <c r="W101" s="2"/>
      <c r="X101" s="2"/>
      <c r="Y101" s="2"/>
      <c r="Z101" s="2"/>
    </row>
    <row r="102">
      <c r="A102" s="2" t="str">
        <f>IFERROR(__xludf.DUMMYFUNCTION("""COMPUTED_VALUE"""),"Felt Cap")</f>
        <v>Felt Cap</v>
      </c>
      <c r="B102" s="2"/>
      <c r="C102" s="2"/>
      <c r="D102" s="2" t="str">
        <f>IFERROR(__xludf.DUMMYFUNCTION("""COMPUTED_VALUE"""),"Head")</f>
        <v>Head</v>
      </c>
      <c r="E102" s="2">
        <f>IFERROR(__xludf.DUMMYFUNCTION("""COMPUTED_VALUE"""),1.0)</f>
        <v>1</v>
      </c>
      <c r="F102" s="2" t="str">
        <f>IFERROR(__xludf.DUMMYFUNCTION("""COMPUTED_VALUE""")," ++ -1 Evasion ++ +2 Intimidation, +-Can only wear one, +-Cannot be duplicated.")</f>
        <v> ++ -1 Evasion ++ +2 Intimidation, +-Can only wear one, +-Cannot be duplicated.</v>
      </c>
      <c r="G102" s="2">
        <f>IFERROR(__xludf.DUMMYFUNCTION("""COMPUTED_VALUE"""),0.0)</f>
        <v>0</v>
      </c>
      <c r="H102" s="2"/>
      <c r="I102" s="2"/>
      <c r="J102" s="2"/>
      <c r="K102" s="2"/>
      <c r="L102" s="2"/>
      <c r="M102" s="2"/>
      <c r="N102" s="2"/>
      <c r="O102" s="2"/>
      <c r="P102" s="2"/>
      <c r="Q102" s="2"/>
      <c r="R102" s="2"/>
      <c r="S102" s="2"/>
      <c r="T102" s="2"/>
      <c r="U102" s="2"/>
      <c r="V102" s="2"/>
      <c r="W102" s="2"/>
      <c r="X102" s="2"/>
      <c r="Y102" s="2"/>
      <c r="Z102" s="2"/>
    </row>
    <row r="103">
      <c r="A103" s="2" t="str">
        <f>IFERROR(__xludf.DUMMYFUNCTION("""COMPUTED_VALUE"""),"Fire Resistant Boots")</f>
        <v>Fire Resistant Boots</v>
      </c>
      <c r="B103" s="2"/>
      <c r="C103" s="2"/>
      <c r="D103" s="2" t="str">
        <f>IFERROR(__xludf.DUMMYFUNCTION("""COMPUTED_VALUE"""),"Feet")</f>
        <v>Feet</v>
      </c>
      <c r="E103" s="2">
        <f>IFERROR(__xludf.DUMMYFUNCTION("""COMPUTED_VALUE"""),200.0)</f>
        <v>200</v>
      </c>
      <c r="F103" s="2" t="str">
        <f>IFERROR(__xludf.DUMMYFUNCTION("""COMPUTED_VALUE"""),", Fire DEF: +10000 ++Fire Immune, ++X2 Additional fire damage. +-Cannot be duplicated.")</f>
        <v>, Fire DEF: +10000 ++Fire Immune, ++X2 Additional fire damage. +-Cannot be duplicated.</v>
      </c>
      <c r="G103" s="2">
        <f>IFERROR(__xludf.DUMMYFUNCTION("""COMPUTED_VALUE"""),1900000.0)</f>
        <v>1900000</v>
      </c>
      <c r="H103" s="2"/>
      <c r="I103" s="2"/>
      <c r="J103" s="2"/>
      <c r="K103" s="2"/>
      <c r="L103" s="2"/>
      <c r="M103" s="2"/>
      <c r="N103" s="2"/>
      <c r="O103" s="2"/>
      <c r="P103" s="2"/>
      <c r="Q103" s="2"/>
      <c r="R103" s="2"/>
      <c r="S103" s="2"/>
      <c r="T103" s="2"/>
      <c r="U103" s="2"/>
      <c r="V103" s="2"/>
      <c r="W103" s="2"/>
      <c r="X103" s="2"/>
      <c r="Y103" s="2"/>
      <c r="Z103" s="2"/>
    </row>
    <row r="104">
      <c r="A104" s="2" t="str">
        <f>IFERROR(__xludf.DUMMYFUNCTION("""COMPUTED_VALUE"""),"Fire Ring")</f>
        <v>Fire Ring</v>
      </c>
      <c r="B104" s="2"/>
      <c r="C104" s="2"/>
      <c r="D104" s="2" t="str">
        <f>IFERROR(__xludf.DUMMYFUNCTION("""COMPUTED_VALUE"""),"Ring")</f>
        <v>Ring</v>
      </c>
      <c r="E104" s="2">
        <f>IFERROR(__xludf.DUMMYFUNCTION("""COMPUTED_VALUE"""),1.0)</f>
        <v>1</v>
      </c>
      <c r="F104" s="2" t="str">
        <f>IFERROR(__xludf.DUMMYFUNCTION("""COMPUTED_VALUE""")," ++Fire Immune, ++X2 Additional fire damage. +-Cannot be duplicated.")</f>
        <v> ++Fire Immune, ++X2 Additional fire damage. +-Cannot be duplicated.</v>
      </c>
      <c r="G104" s="2">
        <f>IFERROR(__xludf.DUMMYFUNCTION("""COMPUTED_VALUE"""),0.0)</f>
        <v>0</v>
      </c>
      <c r="H104" s="2"/>
      <c r="I104" s="2"/>
      <c r="J104" s="2"/>
      <c r="K104" s="2"/>
      <c r="L104" s="2"/>
      <c r="M104" s="2"/>
      <c r="N104" s="2"/>
      <c r="O104" s="2"/>
      <c r="P104" s="2"/>
      <c r="Q104" s="2"/>
      <c r="R104" s="2"/>
      <c r="S104" s="2"/>
      <c r="T104" s="2"/>
      <c r="U104" s="2"/>
      <c r="V104" s="2"/>
      <c r="W104" s="2"/>
      <c r="X104" s="2"/>
      <c r="Y104" s="2"/>
      <c r="Z104" s="2"/>
    </row>
    <row r="105">
      <c r="A105" s="2" t="str">
        <f>IFERROR(__xludf.DUMMYFUNCTION("""COMPUTED_VALUE"""),"Fire Shield")</f>
        <v>Fire Shield</v>
      </c>
      <c r="B105" s="2"/>
      <c r="C105" s="2" t="str">
        <f>IFERROR(__xludf.DUMMYFUNCTION("""COMPUTED_VALUE"""),"Towershield")</f>
        <v>Towershield</v>
      </c>
      <c r="D105" s="2" t="str">
        <f>IFERROR(__xludf.DUMMYFUNCTION("""COMPUTED_VALUE"""),"Hand")</f>
        <v>Hand</v>
      </c>
      <c r="E105" s="2">
        <f>IFERROR(__xludf.DUMMYFUNCTION("""COMPUTED_VALUE"""),200.0)</f>
        <v>200</v>
      </c>
      <c r="F105" s="2" t="str">
        <f>IFERROR(__xludf.DUMMYFUNCTION("""COMPUTED_VALUE"""),"DEF: +5000, Fire DEF: +5000 ++ Immunity to Fire, ++X2 Additional fire resistance. +-Cannot be duplicated.")</f>
        <v>DEF: +5000, Fire DEF: +5000 ++ Immunity to Fire, ++X2 Additional fire resistance. +-Cannot be duplicated.</v>
      </c>
      <c r="G105" s="2">
        <f>IFERROR(__xludf.DUMMYFUNCTION("""COMPUTED_VALUE"""),1900000.0)</f>
        <v>1900000</v>
      </c>
      <c r="H105" s="2"/>
      <c r="I105" s="2"/>
      <c r="J105" s="2"/>
      <c r="K105" s="2"/>
      <c r="L105" s="2"/>
      <c r="M105" s="2"/>
      <c r="N105" s="2"/>
      <c r="O105" s="2"/>
      <c r="P105" s="2"/>
      <c r="Q105" s="2"/>
      <c r="R105" s="2"/>
      <c r="S105" s="2"/>
      <c r="T105" s="2"/>
      <c r="U105" s="2"/>
      <c r="V105" s="2"/>
      <c r="W105" s="2"/>
      <c r="X105" s="2"/>
      <c r="Y105" s="2"/>
      <c r="Z105" s="2"/>
    </row>
    <row r="106">
      <c r="A106" s="2" t="str">
        <f>IFERROR(__xludf.DUMMYFUNCTION("""COMPUTED_VALUE"""),"Fire Sword")</f>
        <v>Fire Sword</v>
      </c>
      <c r="B106" s="2"/>
      <c r="C106" s="2" t="str">
        <f>IFERROR(__xludf.DUMMYFUNCTION("""COMPUTED_VALUE"""),"Sword")</f>
        <v>Sword</v>
      </c>
      <c r="D106" s="2" t="str">
        <f>IFERROR(__xludf.DUMMYFUNCTION("""COMPUTED_VALUE"""),"Hand")</f>
        <v>Hand</v>
      </c>
      <c r="E106" s="2">
        <f>IFERROR(__xludf.DUMMYFUNCTION("""COMPUTED_VALUE"""),200.0)</f>
        <v>200</v>
      </c>
      <c r="F106" s="2" t="str">
        <f>IFERROR(__xludf.DUMMYFUNCTION("""COMPUTED_VALUE"""),"DMG: +5000, Fire DMG: +5000 ++X2 Additional Fire damage. Burn 2500. Cannot be duplicated.")</f>
        <v>DMG: +5000, Fire DMG: +5000 ++X2 Additional Fire damage. Burn 2500. Cannot be duplicated.</v>
      </c>
      <c r="G106" s="2">
        <f>IFERROR(__xludf.DUMMYFUNCTION("""COMPUTED_VALUE"""),1900000.0)</f>
        <v>1900000</v>
      </c>
      <c r="H106" s="2"/>
      <c r="I106" s="2"/>
      <c r="J106" s="2"/>
      <c r="K106" s="2"/>
      <c r="L106" s="2"/>
      <c r="M106" s="2"/>
      <c r="N106" s="2"/>
      <c r="O106" s="2"/>
      <c r="P106" s="2"/>
      <c r="Q106" s="2"/>
      <c r="R106" s="2"/>
      <c r="S106" s="2"/>
      <c r="T106" s="2"/>
      <c r="U106" s="2"/>
      <c r="V106" s="2"/>
      <c r="W106" s="2"/>
      <c r="X106" s="2"/>
      <c r="Y106" s="2"/>
      <c r="Z106" s="2"/>
    </row>
    <row r="107">
      <c r="A107" s="2" t="str">
        <f>IFERROR(__xludf.DUMMYFUNCTION("""COMPUTED_VALUE"""),"Fireproof Suit")</f>
        <v>Fireproof Suit</v>
      </c>
      <c r="B107" s="2"/>
      <c r="C107" s="2"/>
      <c r="D107" s="2" t="str">
        <f>IFERROR(__xludf.DUMMYFUNCTION("""COMPUTED_VALUE"""),"Torso")</f>
        <v>Torso</v>
      </c>
      <c r="E107" s="2">
        <f>IFERROR(__xludf.DUMMYFUNCTION("""COMPUTED_VALUE"""),400.0)</f>
        <v>400</v>
      </c>
      <c r="F107" s="2" t="str">
        <f>IFERROR(__xludf.DUMMYFUNCTION("""COMPUTED_VALUE"""),"DEF: +5000, Fire DEF: +15000 Fire Immune, X2 Additional fire resistance. Cannot be duplicated.")</f>
        <v>DEF: +5000, Fire DEF: +15000 Fire Immune, X2 Additional fire resistance. Cannot be duplicated.</v>
      </c>
      <c r="G107" s="2">
        <f>IFERROR(__xludf.DUMMYFUNCTION("""COMPUTED_VALUE"""),7800000.0)</f>
        <v>7800000</v>
      </c>
      <c r="H107" s="2"/>
      <c r="I107" s="2"/>
      <c r="J107" s="2"/>
      <c r="K107" s="2"/>
      <c r="L107" s="2"/>
      <c r="M107" s="2"/>
      <c r="N107" s="2"/>
      <c r="O107" s="2"/>
      <c r="P107" s="2"/>
      <c r="Q107" s="2"/>
      <c r="R107" s="2"/>
      <c r="S107" s="2"/>
      <c r="T107" s="2"/>
      <c r="U107" s="2"/>
      <c r="V107" s="2"/>
      <c r="W107" s="2"/>
      <c r="X107" s="2"/>
      <c r="Y107" s="2"/>
      <c r="Z107" s="2"/>
    </row>
    <row r="108">
      <c r="A108" s="2" t="str">
        <f>IFERROR(__xludf.DUMMYFUNCTION("""COMPUTED_VALUE"""),"Fish Pendant")</f>
        <v>Fish Pendant</v>
      </c>
      <c r="B108" s="2"/>
      <c r="C108" s="2"/>
      <c r="D108" s="2" t="str">
        <f>IFERROR(__xludf.DUMMYFUNCTION("""COMPUTED_VALUE"""),"Neck")</f>
        <v>Neck</v>
      </c>
      <c r="E108" s="2">
        <f>IFERROR(__xludf.DUMMYFUNCTION("""COMPUTED_VALUE"""),1.0)</f>
        <v>1</v>
      </c>
      <c r="F108" s="2" t="str">
        <f>IFERROR(__xludf.DUMMYFUNCTION("""COMPUTED_VALUE""")," ++Choose the rarity of the fish when fishing +-Cannot be forged +-Cannot be duplicated +-Can only equip one")</f>
        <v> ++Choose the rarity of the fish when fishing +-Cannot be forged +-Cannot be duplicated +-Can only equip one</v>
      </c>
      <c r="G108" s="2">
        <f>IFERROR(__xludf.DUMMYFUNCTION("""COMPUTED_VALUE"""),0.0)</f>
        <v>0</v>
      </c>
      <c r="H108" s="2"/>
      <c r="I108" s="2"/>
      <c r="J108" s="2"/>
      <c r="K108" s="2"/>
      <c r="L108" s="2"/>
      <c r="M108" s="2"/>
      <c r="N108" s="2"/>
      <c r="O108" s="2"/>
      <c r="P108" s="2"/>
      <c r="Q108" s="2"/>
      <c r="R108" s="2"/>
      <c r="S108" s="2"/>
      <c r="T108" s="2"/>
      <c r="U108" s="2"/>
      <c r="V108" s="2"/>
      <c r="W108" s="2"/>
      <c r="X108" s="2"/>
      <c r="Y108" s="2"/>
      <c r="Z108" s="2"/>
    </row>
    <row r="109">
      <c r="A109" s="2" t="str">
        <f>IFERROR(__xludf.DUMMYFUNCTION("""COMPUTED_VALUE"""),"Flame Band")</f>
        <v>Flame Band</v>
      </c>
      <c r="B109" s="2"/>
      <c r="C109" s="2"/>
      <c r="D109" s="2" t="str">
        <f>IFERROR(__xludf.DUMMYFUNCTION("""COMPUTED_VALUE"""),"Arms")</f>
        <v>Arms</v>
      </c>
      <c r="E109" s="2">
        <f>IFERROR(__xludf.DUMMYFUNCTION("""COMPUTED_VALUE"""),1.0)</f>
        <v>1</v>
      </c>
      <c r="F109" s="2" t="str">
        <f>IFERROR(__xludf.DUMMYFUNCTION("""COMPUTED_VALUE""")," Fire Immune, X2 Additional fire damage. +-Cannot be duplicated")</f>
        <v> Fire Immune, X2 Additional fire damage. +-Cannot be duplicated</v>
      </c>
      <c r="G109" s="2">
        <f>IFERROR(__xludf.DUMMYFUNCTION("""COMPUTED_VALUE"""),0.0)</f>
        <v>0</v>
      </c>
      <c r="H109" s="2"/>
      <c r="I109" s="2"/>
      <c r="J109" s="2"/>
      <c r="K109" s="2"/>
      <c r="L109" s="2"/>
      <c r="M109" s="2"/>
      <c r="N109" s="2"/>
      <c r="O109" s="2"/>
      <c r="P109" s="2"/>
      <c r="Q109" s="2"/>
      <c r="R109" s="2"/>
      <c r="S109" s="2"/>
      <c r="T109" s="2"/>
      <c r="U109" s="2"/>
      <c r="V109" s="2"/>
      <c r="W109" s="2"/>
      <c r="X109" s="2"/>
      <c r="Y109" s="2"/>
      <c r="Z109" s="2"/>
    </row>
    <row r="110">
      <c r="A110" s="2" t="str">
        <f>IFERROR(__xludf.DUMMYFUNCTION("""COMPUTED_VALUE"""),"Flame Mask")</f>
        <v>Flame Mask</v>
      </c>
      <c r="B110" s="2"/>
      <c r="C110" s="2"/>
      <c r="D110" s="2" t="str">
        <f>IFERROR(__xludf.DUMMYFUNCTION("""COMPUTED_VALUE"""),"Head")</f>
        <v>Head</v>
      </c>
      <c r="E110" s="2">
        <f>IFERROR(__xludf.DUMMYFUNCTION("""COMPUTED_VALUE"""),130.0)</f>
        <v>130</v>
      </c>
      <c r="F110" s="2" t="str">
        <f>IFERROR(__xludf.DUMMYFUNCTION("""COMPUTED_VALUE"""),"DEF: +5000, Fire DEF: +1500 ++Fire Immunity, ++X2 Additional fire resistance. +-Cannot be duplicated.")</f>
        <v>DEF: +5000, Fire DEF: +1500 ++Fire Immunity, ++X2 Additional fire resistance. +-Cannot be duplicated.</v>
      </c>
      <c r="G110" s="2">
        <f>IFERROR(__xludf.DUMMYFUNCTION("""COMPUTED_VALUE"""),780000.0)</f>
        <v>780000</v>
      </c>
      <c r="H110" s="2"/>
      <c r="I110" s="2"/>
      <c r="J110" s="2"/>
      <c r="K110" s="2"/>
      <c r="L110" s="2"/>
      <c r="M110" s="2"/>
      <c r="N110" s="2"/>
      <c r="O110" s="2"/>
      <c r="P110" s="2"/>
      <c r="Q110" s="2"/>
      <c r="R110" s="2"/>
      <c r="S110" s="2"/>
      <c r="T110" s="2"/>
      <c r="U110" s="2"/>
      <c r="V110" s="2"/>
      <c r="W110" s="2"/>
      <c r="X110" s="2"/>
      <c r="Y110" s="2"/>
      <c r="Z110" s="2"/>
    </row>
    <row r="111">
      <c r="A111" s="2" t="str">
        <f>IFERROR(__xludf.DUMMYFUNCTION("""COMPUTED_VALUE"""),"Flamethrower")</f>
        <v>Flamethrower</v>
      </c>
      <c r="B111" s="2"/>
      <c r="C111" s="2" t="str">
        <f>IFERROR(__xludf.DUMMYFUNCTION("""COMPUTED_VALUE"""),"Firearm")</f>
        <v>Firearm</v>
      </c>
      <c r="D111" s="2" t="str">
        <f>IFERROR(__xludf.DUMMYFUNCTION("""COMPUTED_VALUE"""),"Hand")</f>
        <v>Hand</v>
      </c>
      <c r="E111" s="2">
        <f>IFERROR(__xludf.DUMMYFUNCTION("""COMPUTED_VALUE"""),700.0)</f>
        <v>700</v>
      </c>
      <c r="F111" s="2" t="str">
        <f>IFERROR(__xludf.DUMMYFUNCTION("""COMPUTED_VALUE"""),", Fire DMG: +35000 ++20% chance of hitting all enemies")</f>
        <v>, Fire DMG: +35000 ++20% chance of hitting all enemies</v>
      </c>
      <c r="G111" s="2">
        <f>IFERROR(__xludf.DUMMYFUNCTION("""COMPUTED_VALUE"""),2.415E7)</f>
        <v>24150000</v>
      </c>
      <c r="H111" s="2"/>
      <c r="I111" s="2"/>
      <c r="J111" s="2"/>
      <c r="K111" s="2"/>
      <c r="L111" s="2"/>
      <c r="M111" s="2"/>
      <c r="N111" s="2"/>
      <c r="O111" s="2"/>
      <c r="P111" s="2"/>
      <c r="Q111" s="2"/>
      <c r="R111" s="2"/>
      <c r="S111" s="2"/>
      <c r="T111" s="2"/>
      <c r="U111" s="2"/>
      <c r="V111" s="2"/>
      <c r="W111" s="2"/>
      <c r="X111" s="2"/>
      <c r="Y111" s="2"/>
      <c r="Z111" s="2"/>
    </row>
    <row r="112">
      <c r="A112" s="2" t="str">
        <f>IFERROR(__xludf.DUMMYFUNCTION("""COMPUTED_VALUE"""),"Flaming Sword")</f>
        <v>Flaming Sword</v>
      </c>
      <c r="B112" s="2"/>
      <c r="C112" s="2" t="str">
        <f>IFERROR(__xludf.DUMMYFUNCTION("""COMPUTED_VALUE"""),"Sword")</f>
        <v>Sword</v>
      </c>
      <c r="D112" s="2" t="str">
        <f>IFERROR(__xludf.DUMMYFUNCTION("""COMPUTED_VALUE"""),"Hand")</f>
        <v>Hand</v>
      </c>
      <c r="E112" s="2">
        <f>IFERROR(__xludf.DUMMYFUNCTION("""COMPUTED_VALUE"""),300.0)</f>
        <v>300</v>
      </c>
      <c r="F112" s="2" t="str">
        <f>IFERROR(__xludf.DUMMYFUNCTION("""COMPUTED_VALUE"""),"DMG: +5000, Fire DMG: +5000, Nature DMG: +5000 ++Burn 1000")</f>
        <v>DMG: +5000, Fire DMG: +5000, Nature DMG: +5000 ++Burn 1000</v>
      </c>
      <c r="G112" s="2">
        <f>IFERROR(__xludf.DUMMYFUNCTION("""COMPUTED_VALUE"""),4350000.0)</f>
        <v>4350000</v>
      </c>
      <c r="H112" s="2"/>
      <c r="I112" s="2"/>
      <c r="J112" s="2"/>
      <c r="K112" s="2"/>
      <c r="L112" s="2"/>
      <c r="M112" s="2"/>
      <c r="N112" s="2"/>
      <c r="O112" s="2"/>
      <c r="P112" s="2"/>
      <c r="Q112" s="2"/>
      <c r="R112" s="2"/>
      <c r="S112" s="2"/>
      <c r="T112" s="2"/>
      <c r="U112" s="2"/>
      <c r="V112" s="2"/>
      <c r="W112" s="2"/>
      <c r="X112" s="2"/>
      <c r="Y112" s="2"/>
      <c r="Z112" s="2"/>
    </row>
    <row r="113">
      <c r="A113" s="2" t="str">
        <f>IFERROR(__xludf.DUMMYFUNCTION("""COMPUTED_VALUE"""),"Foul Night Blade")</f>
        <v>Foul Night Blade</v>
      </c>
      <c r="B113" s="2"/>
      <c r="C113" s="2" t="str">
        <f>IFERROR(__xludf.DUMMYFUNCTION("""COMPUTED_VALUE"""),"Sword")</f>
        <v>Sword</v>
      </c>
      <c r="D113" s="2" t="str">
        <f>IFERROR(__xludf.DUMMYFUNCTION("""COMPUTED_VALUE"""),"Hand")</f>
        <v>Hand</v>
      </c>
      <c r="E113" s="2">
        <f>IFERROR(__xludf.DUMMYFUNCTION("""COMPUTED_VALUE"""),200.0)</f>
        <v>200</v>
      </c>
      <c r="F113" s="2" t="str">
        <f>IFERROR(__xludf.DUMMYFUNCTION("""COMPUTED_VALUE"""),"DMG: +5000, Nature DMG: +5000 (Foul Night Set) ++Poison 5000 for 3 rounds. ++Foul Night Embodiment - When Equipped  Any Dark, Nature or Poison damage is X4.")</f>
        <v>DMG: +5000, Nature DMG: +5000 (Foul Night Set) ++Poison 5000 for 3 rounds. ++Foul Night Embodiment - When Equipped  Any Dark, Nature or Poison damage is X4.</v>
      </c>
      <c r="G113" s="2">
        <f>IFERROR(__xludf.DUMMYFUNCTION("""COMPUTED_VALUE"""),1900000.0)</f>
        <v>1900000</v>
      </c>
      <c r="H113" s="2"/>
      <c r="I113" s="2"/>
      <c r="J113" s="2"/>
      <c r="K113" s="2"/>
      <c r="L113" s="2"/>
      <c r="M113" s="2"/>
      <c r="N113" s="2"/>
      <c r="O113" s="2"/>
      <c r="P113" s="2"/>
      <c r="Q113" s="2"/>
      <c r="R113" s="2"/>
      <c r="S113" s="2"/>
      <c r="T113" s="2"/>
      <c r="U113" s="2"/>
      <c r="V113" s="2"/>
      <c r="W113" s="2"/>
      <c r="X113" s="2"/>
      <c r="Y113" s="2"/>
      <c r="Z113" s="2"/>
    </row>
    <row r="114">
      <c r="A114" s="2" t="str">
        <f>IFERROR(__xludf.DUMMYFUNCTION("""COMPUTED_VALUE"""),"Freezing Chains")</f>
        <v>Freezing Chains</v>
      </c>
      <c r="B114" s="2"/>
      <c r="C114" s="2" t="str">
        <f>IFERROR(__xludf.DUMMYFUNCTION("""COMPUTED_VALUE"""),"Club")</f>
        <v>Club</v>
      </c>
      <c r="D114" s="2" t="str">
        <f>IFERROR(__xludf.DUMMYFUNCTION("""COMPUTED_VALUE"""),"Hand")</f>
        <v>Hand</v>
      </c>
      <c r="E114" s="2">
        <f>IFERROR(__xludf.DUMMYFUNCTION("""COMPUTED_VALUE"""),200.0)</f>
        <v>200</v>
      </c>
      <c r="F114" s="2" t="str">
        <f>IFERROR(__xludf.DUMMYFUNCTION("""COMPUTED_VALUE"""),"DMG: +5000, Water DMG: +5000 ++Frost Bind- binds the target freezing them until the end of their next turn")</f>
        <v>DMG: +5000, Water DMG: +5000 ++Frost Bind- binds the target freezing them until the end of their next turn</v>
      </c>
      <c r="G114" s="2">
        <f>IFERROR(__xludf.DUMMYFUNCTION("""COMPUTED_VALUE"""),1900000.0)</f>
        <v>1900000</v>
      </c>
      <c r="H114" s="2"/>
      <c r="I114" s="2"/>
      <c r="J114" s="2"/>
      <c r="K114" s="2"/>
      <c r="L114" s="2"/>
      <c r="M114" s="2"/>
      <c r="N114" s="2"/>
      <c r="O114" s="2"/>
      <c r="P114" s="2"/>
      <c r="Q114" s="2"/>
      <c r="R114" s="2"/>
      <c r="S114" s="2"/>
      <c r="T114" s="2"/>
      <c r="U114" s="2"/>
      <c r="V114" s="2"/>
      <c r="W114" s="2"/>
      <c r="X114" s="2"/>
      <c r="Y114" s="2"/>
      <c r="Z114" s="2"/>
    </row>
    <row r="115">
      <c r="A115" s="2" t="str">
        <f>IFERROR(__xludf.DUMMYFUNCTION("""COMPUTED_VALUE"""),"Frost Bow")</f>
        <v>Frost Bow</v>
      </c>
      <c r="B115" s="2"/>
      <c r="C115" s="2" t="str">
        <f>IFERROR(__xludf.DUMMYFUNCTION("""COMPUTED_VALUE"""),"Bow")</f>
        <v>Bow</v>
      </c>
      <c r="D115" s="2" t="str">
        <f>IFERROR(__xludf.DUMMYFUNCTION("""COMPUTED_VALUE"""),"Hand")</f>
        <v>Hand</v>
      </c>
      <c r="E115" s="2">
        <f>IFERROR(__xludf.DUMMYFUNCTION("""COMPUTED_VALUE"""),180.0)</f>
        <v>180</v>
      </c>
      <c r="F115" s="2" t="str">
        <f>IFERROR(__xludf.DUMMYFUNCTION("""COMPUTED_VALUE"""),"DMG: +5000, Water DMG: +4000 ++Arrows Used with this bow have a 50% chance to freeze the target(s)")</f>
        <v>DMG: +5000, Water DMG: +4000 ++Arrows Used with this bow have a 50% chance to freeze the target(s)</v>
      </c>
      <c r="G115" s="2">
        <f>IFERROR(__xludf.DUMMYFUNCTION("""COMPUTED_VALUE"""),1530000.0)</f>
        <v>1530000</v>
      </c>
      <c r="H115" s="2"/>
      <c r="I115" s="2"/>
      <c r="J115" s="2"/>
      <c r="K115" s="2"/>
      <c r="L115" s="2"/>
      <c r="M115" s="2"/>
      <c r="N115" s="2"/>
      <c r="O115" s="2"/>
      <c r="P115" s="2"/>
      <c r="Q115" s="2"/>
      <c r="R115" s="2"/>
      <c r="S115" s="2"/>
      <c r="T115" s="2"/>
      <c r="U115" s="2"/>
      <c r="V115" s="2"/>
      <c r="W115" s="2"/>
      <c r="X115" s="2"/>
      <c r="Y115" s="2"/>
      <c r="Z115" s="2"/>
    </row>
    <row r="116">
      <c r="A116" s="2" t="str">
        <f>IFERROR(__xludf.DUMMYFUNCTION("""COMPUTED_VALUE"""),"Frost Cloak")</f>
        <v>Frost Cloak</v>
      </c>
      <c r="B116" s="2"/>
      <c r="C116" s="2"/>
      <c r="D116" s="2" t="str">
        <f>IFERROR(__xludf.DUMMYFUNCTION("""COMPUTED_VALUE"""),"Torso")</f>
        <v>Torso</v>
      </c>
      <c r="E116" s="2">
        <f>IFERROR(__xludf.DUMMYFUNCTION("""COMPUTED_VALUE"""),1.0)</f>
        <v>1</v>
      </c>
      <c r="F116" s="2" t="str">
        <f>IFERROR(__xludf.DUMMYFUNCTION("""COMPUTED_VALUE""")," (Frost Mage Set) ++When caster is hit by an enemy,the enemy is frozen for 5r/s caster,s cloak last for 3 r/s 90 sp")</f>
        <v> (Frost Mage Set) ++When caster is hit by an enemy,the enemy is frozen for 5r/s caster,s cloak last for 3 r/s 90 sp</v>
      </c>
      <c r="G116" s="2">
        <f>IFERROR(__xludf.DUMMYFUNCTION("""COMPUTED_VALUE"""),0.0)</f>
        <v>0</v>
      </c>
      <c r="H116" s="2"/>
      <c r="I116" s="2"/>
      <c r="J116" s="2"/>
      <c r="K116" s="2"/>
      <c r="L116" s="2"/>
      <c r="M116" s="2"/>
      <c r="N116" s="2"/>
      <c r="O116" s="2"/>
      <c r="P116" s="2"/>
      <c r="Q116" s="2"/>
      <c r="R116" s="2"/>
      <c r="S116" s="2"/>
      <c r="T116" s="2"/>
      <c r="U116" s="2"/>
      <c r="V116" s="2"/>
      <c r="W116" s="2"/>
      <c r="X116" s="2"/>
      <c r="Y116" s="2"/>
      <c r="Z116" s="2"/>
    </row>
    <row r="117">
      <c r="A117" s="2" t="str">
        <f>IFERROR(__xludf.DUMMYFUNCTION("""COMPUTED_VALUE"""),"Frost Spear")</f>
        <v>Frost Spear</v>
      </c>
      <c r="B117" s="2" t="str">
        <f>IFERROR(__xludf.DUMMYFUNCTION("""COMPUTED_VALUE"""),"Event Exclusive")</f>
        <v>Event Exclusive</v>
      </c>
      <c r="C117" s="2" t="str">
        <f>IFERROR(__xludf.DUMMYFUNCTION("""COMPUTED_VALUE"""),"Spear")</f>
        <v>Spear</v>
      </c>
      <c r="D117" s="2" t="str">
        <f>IFERROR(__xludf.DUMMYFUNCTION("""COMPUTED_VALUE"""),"Hand")</f>
        <v>Hand</v>
      </c>
      <c r="E117" s="2">
        <f>IFERROR(__xludf.DUMMYFUNCTION("""COMPUTED_VALUE"""),1000.0)</f>
        <v>1000</v>
      </c>
      <c r="F117" s="2" t="str">
        <f>IFERROR(__xludf.DUMMYFUNCTION("""COMPUTED_VALUE"""),"DMG: +25000, Storm DMG: +25000 (The Frozen Spear Master Set) ++50% chance to freeze any enemies hit with this weapon")</f>
        <v>DMG: +25000, Storm DMG: +25000 (The Frozen Spear Master Set) ++50% chance to freeze any enemies hit with this weapon</v>
      </c>
      <c r="G117" s="2">
        <f>IFERROR(__xludf.DUMMYFUNCTION("""COMPUTED_VALUE"""),4.95E7)</f>
        <v>49500000</v>
      </c>
      <c r="H117" s="2"/>
      <c r="I117" s="2"/>
      <c r="J117" s="2"/>
      <c r="K117" s="2"/>
      <c r="L117" s="2"/>
      <c r="M117" s="2"/>
      <c r="N117" s="2"/>
      <c r="O117" s="2"/>
      <c r="P117" s="2"/>
      <c r="Q117" s="2"/>
      <c r="R117" s="2"/>
      <c r="S117" s="2"/>
      <c r="T117" s="2"/>
      <c r="U117" s="2"/>
      <c r="V117" s="2"/>
      <c r="W117" s="2"/>
      <c r="X117" s="2"/>
      <c r="Y117" s="2"/>
      <c r="Z117" s="2"/>
    </row>
    <row r="118">
      <c r="A118" s="2" t="str">
        <f>IFERROR(__xludf.DUMMYFUNCTION("""COMPUTED_VALUE"""),"Frozen Carrot Dagger")</f>
        <v>Frozen Carrot Dagger</v>
      </c>
      <c r="B118" s="2" t="str">
        <f>IFERROR(__xludf.DUMMYFUNCTION("""COMPUTED_VALUE"""),"Event Exclusive")</f>
        <v>Event Exclusive</v>
      </c>
      <c r="C118" s="2" t="str">
        <f>IFERROR(__xludf.DUMMYFUNCTION("""COMPUTED_VALUE"""),"Knife")</f>
        <v>Knife</v>
      </c>
      <c r="D118" s="2" t="str">
        <f>IFERROR(__xludf.DUMMYFUNCTION("""COMPUTED_VALUE"""),"Hand")</f>
        <v>Hand</v>
      </c>
      <c r="E118" s="2">
        <f>IFERROR(__xludf.DUMMYFUNCTION("""COMPUTED_VALUE"""),200.0)</f>
        <v>200</v>
      </c>
      <c r="F118" s="2" t="str">
        <f>IFERROR(__xludf.DUMMYFUNCTION("""COMPUTED_VALUE"""),"DMG: +5000, Water DMG: +5000")</f>
        <v>DMG: +5000, Water DMG: +5000</v>
      </c>
      <c r="G118" s="2">
        <f>IFERROR(__xludf.DUMMYFUNCTION("""COMPUTED_VALUE"""),1900000.0)</f>
        <v>1900000</v>
      </c>
      <c r="H118" s="2"/>
      <c r="I118" s="2"/>
      <c r="J118" s="2"/>
      <c r="K118" s="2"/>
      <c r="L118" s="2"/>
      <c r="M118" s="2"/>
      <c r="N118" s="2"/>
      <c r="O118" s="2"/>
      <c r="P118" s="2"/>
      <c r="Q118" s="2"/>
      <c r="R118" s="2"/>
      <c r="S118" s="2"/>
      <c r="T118" s="2"/>
      <c r="U118" s="2"/>
      <c r="V118" s="2"/>
      <c r="W118" s="2"/>
      <c r="X118" s="2"/>
      <c r="Y118" s="2"/>
      <c r="Z118" s="2"/>
    </row>
    <row r="119">
      <c r="A119" s="2" t="str">
        <f>IFERROR(__xludf.DUMMYFUNCTION("""COMPUTED_VALUE"""),"Frozen Falchion")</f>
        <v>Frozen Falchion</v>
      </c>
      <c r="B119" s="2"/>
      <c r="C119" s="2" t="str">
        <f>IFERROR(__xludf.DUMMYFUNCTION("""COMPUTED_VALUE"""),"Sword")</f>
        <v>Sword</v>
      </c>
      <c r="D119" s="2" t="str">
        <f>IFERROR(__xludf.DUMMYFUNCTION("""COMPUTED_VALUE"""),"Hand")</f>
        <v>Hand</v>
      </c>
      <c r="E119" s="2">
        <f>IFERROR(__xludf.DUMMYFUNCTION("""COMPUTED_VALUE"""),400.0)</f>
        <v>400</v>
      </c>
      <c r="F119" s="2" t="str">
        <f>IFERROR(__xludf.DUMMYFUNCTION("""COMPUTED_VALUE"""),"DMG: +10000, Water DMG: +10000 ++40% chance to freeze the target. ++While enemies are frozen in battle they will take 20,000 Water damage per round. +-Cannot be duplicated.")</f>
        <v>DMG: +10000, Water DMG: +10000 ++40% chance to freeze the target. ++While enemies are frozen in battle they will take 20,000 Water damage per round. +-Cannot be duplicated.</v>
      </c>
      <c r="G119" s="2">
        <f>IFERROR(__xludf.DUMMYFUNCTION("""COMPUTED_VALUE"""),7800000.0)</f>
        <v>7800000</v>
      </c>
      <c r="H119" s="2"/>
      <c r="I119" s="2"/>
      <c r="J119" s="2"/>
      <c r="K119" s="2"/>
      <c r="L119" s="2"/>
      <c r="M119" s="2"/>
      <c r="N119" s="2"/>
      <c r="O119" s="2"/>
      <c r="P119" s="2"/>
      <c r="Q119" s="2"/>
      <c r="R119" s="2"/>
      <c r="S119" s="2"/>
      <c r="T119" s="2"/>
      <c r="U119" s="2"/>
      <c r="V119" s="2"/>
      <c r="W119" s="2"/>
      <c r="X119" s="2"/>
      <c r="Y119" s="2"/>
      <c r="Z119" s="2"/>
    </row>
    <row r="120">
      <c r="A120" s="2" t="str">
        <f>IFERROR(__xludf.DUMMYFUNCTION("""COMPUTED_VALUE"""),"Frozen Soul Lantern")</f>
        <v>Frozen Soul Lantern</v>
      </c>
      <c r="B120" s="2"/>
      <c r="C120" s="2" t="str">
        <f>IFERROR(__xludf.DUMMYFUNCTION("""COMPUTED_VALUE"""),"Wand")</f>
        <v>Wand</v>
      </c>
      <c r="D120" s="2" t="str">
        <f>IFERROR(__xludf.DUMMYFUNCTION("""COMPUTED_VALUE"""),"Hand")</f>
        <v>Hand</v>
      </c>
      <c r="E120" s="2">
        <f>IFERROR(__xludf.DUMMYFUNCTION("""COMPUTED_VALUE"""),1.0)</f>
        <v>1</v>
      </c>
      <c r="F120" s="2" t="str">
        <f>IFERROR(__xludf.DUMMYFUNCTION("""COMPUTED_VALUE""")," ++When a spell that deals damage is casted by an enemy this item will inflict the effect Frostburn. ++Frostburn - The Targets spell damage is halved.")</f>
        <v> ++When a spell that deals damage is casted by an enemy this item will inflict the effect Frostburn. ++Frostburn - The Targets spell damage is halved.</v>
      </c>
      <c r="G120" s="2">
        <f>IFERROR(__xludf.DUMMYFUNCTION("""COMPUTED_VALUE"""),0.0)</f>
        <v>0</v>
      </c>
      <c r="H120" s="2"/>
      <c r="I120" s="2"/>
      <c r="J120" s="2"/>
      <c r="K120" s="2"/>
      <c r="L120" s="2"/>
      <c r="M120" s="2"/>
      <c r="N120" s="2"/>
      <c r="O120" s="2"/>
      <c r="P120" s="2"/>
      <c r="Q120" s="2"/>
      <c r="R120" s="2"/>
      <c r="S120" s="2"/>
      <c r="T120" s="2"/>
      <c r="U120" s="2"/>
      <c r="V120" s="2"/>
      <c r="W120" s="2"/>
      <c r="X120" s="2"/>
      <c r="Y120" s="2"/>
      <c r="Z120" s="2"/>
    </row>
    <row r="121">
      <c r="A121" s="2" t="str">
        <f>IFERROR(__xludf.DUMMYFUNCTION("""COMPUTED_VALUE"""),"Gargoyle War Horn")</f>
        <v>Gargoyle War Horn</v>
      </c>
      <c r="B121" s="2"/>
      <c r="C121" s="2" t="str">
        <f>IFERROR(__xludf.DUMMYFUNCTION("""COMPUTED_VALUE"""),"Wand")</f>
        <v>Wand</v>
      </c>
      <c r="D121" s="2" t="str">
        <f>IFERROR(__xludf.DUMMYFUNCTION("""COMPUTED_VALUE"""),"Hand")</f>
        <v>Hand</v>
      </c>
      <c r="E121" s="2">
        <f>IFERROR(__xludf.DUMMYFUNCTION("""COMPUTED_VALUE"""),1.0)</f>
        <v>1</v>
      </c>
      <c r="F121" s="2" t="str">
        <f>IFERROR(__xludf.DUMMYFUNCTION("""COMPUTED_VALUE""")," ++Summons a d2 of Gargoyles to help you in battle. +-Can only be used once per battle.")</f>
        <v> ++Summons a d2 of Gargoyles to help you in battle. +-Can only be used once per battle.</v>
      </c>
      <c r="G121" s="2">
        <f>IFERROR(__xludf.DUMMYFUNCTION("""COMPUTED_VALUE"""),0.0)</f>
        <v>0</v>
      </c>
      <c r="H121" s="2"/>
      <c r="I121" s="2"/>
      <c r="J121" s="2"/>
      <c r="K121" s="2"/>
      <c r="L121" s="2"/>
      <c r="M121" s="2"/>
      <c r="N121" s="2"/>
      <c r="O121" s="2"/>
      <c r="P121" s="2"/>
      <c r="Q121" s="2"/>
      <c r="R121" s="2"/>
      <c r="S121" s="2"/>
      <c r="T121" s="2"/>
      <c r="U121" s="2"/>
      <c r="V121" s="2"/>
      <c r="W121" s="2"/>
      <c r="X121" s="2"/>
      <c r="Y121" s="2"/>
      <c r="Z121" s="2"/>
    </row>
    <row r="122">
      <c r="A122" s="2" t="str">
        <f>IFERROR(__xludf.DUMMYFUNCTION("""COMPUTED_VALUE"""),"Gargoyle’s Heavy Enchanted Bow")</f>
        <v>Gargoyle’s Heavy Enchanted Bow</v>
      </c>
      <c r="B122" s="2"/>
      <c r="C122" s="2" t="str">
        <f>IFERROR(__xludf.DUMMYFUNCTION("""COMPUTED_VALUE"""),"Bow")</f>
        <v>Bow</v>
      </c>
      <c r="D122" s="2" t="str">
        <f>IFERROR(__xludf.DUMMYFUNCTION("""COMPUTED_VALUE"""),"Hand")</f>
        <v>Hand</v>
      </c>
      <c r="E122" s="2">
        <f>IFERROR(__xludf.DUMMYFUNCTION("""COMPUTED_VALUE"""),3000.0)</f>
        <v>3000</v>
      </c>
      <c r="F122" s="2" t="str">
        <f>IFERROR(__xludf.DUMMYFUNCTION("""COMPUTED_VALUE"""),"DMG: +100000, Earth DMG: +50000 ++Damage dealt with this bow gives you hp back equal to the damage you dealt. ")</f>
        <v>DMG: +100000, Earth DMG: +50000 ++Damage dealt with this bow gives you hp back equal to the damage you dealt. </v>
      </c>
      <c r="G122" s="2">
        <f>IFERROR(__xludf.DUMMYFUNCTION("""COMPUTED_VALUE"""),4.485E8)</f>
        <v>448500000</v>
      </c>
      <c r="H122" s="2"/>
      <c r="I122" s="2"/>
      <c r="J122" s="2"/>
      <c r="K122" s="2"/>
      <c r="L122" s="2"/>
      <c r="M122" s="2"/>
      <c r="N122" s="2"/>
      <c r="O122" s="2"/>
      <c r="P122" s="2"/>
      <c r="Q122" s="2"/>
      <c r="R122" s="2"/>
      <c r="S122" s="2"/>
      <c r="T122" s="2"/>
      <c r="U122" s="2"/>
      <c r="V122" s="2"/>
      <c r="W122" s="2"/>
      <c r="X122" s="2"/>
      <c r="Y122" s="2"/>
      <c r="Z122" s="2"/>
    </row>
    <row r="123">
      <c r="A123" s="2" t="str">
        <f>IFERROR(__xludf.DUMMYFUNCTION("""COMPUTED_VALUE"""),"Gargoyle’s Necklace of Luck ")</f>
        <v>Gargoyle’s Necklace of Luck </v>
      </c>
      <c r="B123" s="2"/>
      <c r="C123" s="2"/>
      <c r="D123" s="2" t="str">
        <f>IFERROR(__xludf.DUMMYFUNCTION("""COMPUTED_VALUE"""),"Neck")</f>
        <v>Neck</v>
      </c>
      <c r="E123" s="2">
        <f>IFERROR(__xludf.DUMMYFUNCTION("""COMPUTED_VALUE"""),1.0)</f>
        <v>1</v>
      </c>
      <c r="F123" s="2" t="str">
        <f>IFERROR(__xludf.DUMMYFUNCTION("""COMPUTED_VALUE""")," ++Allows 1 d20 roll to be a 20 once per battle or 1 rp action per day of travel. +-Cannot be forged +-Cannot be duplicated +-Can only equip one")</f>
        <v> ++Allows 1 d20 roll to be a 20 once per battle or 1 rp action per day of travel. +-Cannot be forged +-Cannot be duplicated +-Can only equip one</v>
      </c>
      <c r="G123" s="2">
        <f>IFERROR(__xludf.DUMMYFUNCTION("""COMPUTED_VALUE"""),0.0)</f>
        <v>0</v>
      </c>
      <c r="H123" s="2"/>
      <c r="I123" s="2"/>
      <c r="J123" s="2"/>
      <c r="K123" s="2"/>
      <c r="L123" s="2"/>
      <c r="M123" s="2"/>
      <c r="N123" s="2"/>
      <c r="O123" s="2"/>
      <c r="P123" s="2"/>
      <c r="Q123" s="2"/>
      <c r="R123" s="2"/>
      <c r="S123" s="2"/>
      <c r="T123" s="2"/>
      <c r="U123" s="2"/>
      <c r="V123" s="2"/>
      <c r="W123" s="2"/>
      <c r="X123" s="2"/>
      <c r="Y123" s="2"/>
      <c r="Z123" s="2"/>
    </row>
    <row r="124">
      <c r="A124" s="2" t="str">
        <f>IFERROR(__xludf.DUMMYFUNCTION("""COMPUTED_VALUE"""),"Gargoyle’s Ring")</f>
        <v>Gargoyle’s Ring</v>
      </c>
      <c r="B124" s="2"/>
      <c r="C124" s="2"/>
      <c r="D124" s="2" t="str">
        <f>IFERROR(__xludf.DUMMYFUNCTION("""COMPUTED_VALUE"""),"Ring")</f>
        <v>Ring</v>
      </c>
      <c r="E124" s="2">
        <f>IFERROR(__xludf.DUMMYFUNCTION("""COMPUTED_VALUE"""),1.0)</f>
        <v>1</v>
      </c>
      <c r="F124" s="2" t="str">
        <f>IFERROR(__xludf.DUMMYFUNCTION("""COMPUTED_VALUE""")," ++If you chose the gargoyle race as your main starting race this ring will make it so you will not become hardened.")</f>
        <v> ++If you chose the gargoyle race as your main starting race this ring will make it so you will not become hardened.</v>
      </c>
      <c r="G124" s="2">
        <f>IFERROR(__xludf.DUMMYFUNCTION("""COMPUTED_VALUE"""),0.0)</f>
        <v>0</v>
      </c>
      <c r="H124" s="2"/>
      <c r="I124" s="2"/>
      <c r="J124" s="2"/>
      <c r="K124" s="2"/>
      <c r="L124" s="2"/>
      <c r="M124" s="2"/>
      <c r="N124" s="2"/>
      <c r="O124" s="2"/>
      <c r="P124" s="2"/>
      <c r="Q124" s="2"/>
      <c r="R124" s="2"/>
      <c r="S124" s="2"/>
      <c r="T124" s="2"/>
      <c r="U124" s="2"/>
      <c r="V124" s="2"/>
      <c r="W124" s="2"/>
      <c r="X124" s="2"/>
      <c r="Y124" s="2"/>
      <c r="Z124" s="2"/>
    </row>
    <row r="125">
      <c r="A125" s="2" t="str">
        <f>IFERROR(__xludf.DUMMYFUNCTION("""COMPUTED_VALUE"""),"Giant Spider Leg")</f>
        <v>Giant Spider Leg</v>
      </c>
      <c r="B125" s="2"/>
      <c r="C125" s="2" t="str">
        <f>IFERROR(__xludf.DUMMYFUNCTION("""COMPUTED_VALUE"""),"Knife")</f>
        <v>Knife</v>
      </c>
      <c r="D125" s="2" t="str">
        <f>IFERROR(__xludf.DUMMYFUNCTION("""COMPUTED_VALUE"""),"Hand")</f>
        <v>Hand</v>
      </c>
      <c r="E125" s="2">
        <f>IFERROR(__xludf.DUMMYFUNCTION("""COMPUTED_VALUE"""),200.0)</f>
        <v>200</v>
      </c>
      <c r="F125" s="2" t="str">
        <f>IFERROR(__xludf.DUMMYFUNCTION("""COMPUTED_VALUE"""),"ATK: +10000 ++When hitting an enemy inflict them with poison 500")</f>
        <v>ATK: +10000 ++When hitting an enemy inflict them with poison 500</v>
      </c>
      <c r="G125" s="2">
        <f>IFERROR(__xludf.DUMMYFUNCTION("""COMPUTED_VALUE"""),1900000.0)</f>
        <v>1900000</v>
      </c>
      <c r="H125" s="2"/>
      <c r="I125" s="2"/>
      <c r="J125" s="2"/>
      <c r="K125" s="2"/>
      <c r="L125" s="2"/>
      <c r="M125" s="2"/>
      <c r="N125" s="2"/>
      <c r="O125" s="2"/>
      <c r="P125" s="2"/>
      <c r="Q125" s="2"/>
      <c r="R125" s="2"/>
      <c r="S125" s="2"/>
      <c r="T125" s="2"/>
      <c r="U125" s="2"/>
      <c r="V125" s="2"/>
      <c r="W125" s="2"/>
      <c r="X125" s="2"/>
      <c r="Y125" s="2"/>
      <c r="Z125" s="2"/>
    </row>
    <row r="126">
      <c r="A126" s="2" t="str">
        <f>IFERROR(__xludf.DUMMYFUNCTION("""COMPUTED_VALUE"""),"Glass Shield")</f>
        <v>Glass Shield</v>
      </c>
      <c r="B126" s="2"/>
      <c r="C126" s="2" t="str">
        <f>IFERROR(__xludf.DUMMYFUNCTION("""COMPUTED_VALUE"""),"Towershield")</f>
        <v>Towershield</v>
      </c>
      <c r="D126" s="2" t="str">
        <f>IFERROR(__xludf.DUMMYFUNCTION("""COMPUTED_VALUE"""),"Hand")</f>
        <v>Hand</v>
      </c>
      <c r="E126" s="2">
        <f>IFERROR(__xludf.DUMMYFUNCTION("""COMPUTED_VALUE"""),1000.0)</f>
        <v>1000</v>
      </c>
      <c r="F126" s="2" t="str">
        <f>IFERROR(__xludf.DUMMYFUNCTION("""COMPUTED_VALUE"""),"DEF: +50000 +-has a 50% chance of breaking upon taking damage")</f>
        <v>DEF: +50000 +-has a 50% chance of breaking upon taking damage</v>
      </c>
      <c r="G126" s="2">
        <f>IFERROR(__xludf.DUMMYFUNCTION("""COMPUTED_VALUE"""),4.95E7)</f>
        <v>49500000</v>
      </c>
      <c r="H126" s="2"/>
      <c r="I126" s="2"/>
      <c r="J126" s="2"/>
      <c r="K126" s="2"/>
      <c r="L126" s="2"/>
      <c r="M126" s="2"/>
      <c r="N126" s="2"/>
      <c r="O126" s="2"/>
      <c r="P126" s="2"/>
      <c r="Q126" s="2"/>
      <c r="R126" s="2"/>
      <c r="S126" s="2"/>
      <c r="T126" s="2"/>
      <c r="U126" s="2"/>
      <c r="V126" s="2"/>
      <c r="W126" s="2"/>
      <c r="X126" s="2"/>
      <c r="Y126" s="2"/>
      <c r="Z126" s="2"/>
    </row>
    <row r="127">
      <c r="A127" s="2" t="str">
        <f>IFERROR(__xludf.DUMMYFUNCTION("""COMPUTED_VALUE"""),"Goose Staff")</f>
        <v>Goose Staff</v>
      </c>
      <c r="B127" s="2"/>
      <c r="C127" s="2" t="str">
        <f>IFERROR(__xludf.DUMMYFUNCTION("""COMPUTED_VALUE"""),"Staff")</f>
        <v>Staff</v>
      </c>
      <c r="D127" s="2" t="str">
        <f>IFERROR(__xludf.DUMMYFUNCTION("""COMPUTED_VALUE"""),"Hand")</f>
        <v>Hand</v>
      </c>
      <c r="E127" s="2">
        <f>IFERROR(__xludf.DUMMYFUNCTION("""COMPUTED_VALUE"""),1.0)</f>
        <v>1</v>
      </c>
      <c r="F127" s="2" t="str">
        <f>IFERROR(__xludf.DUMMYFUNCTION("""COMPUTED_VALUE""")," ++Summons Lord Goose to aid you in battle, 1000 SP.")</f>
        <v> ++Summons Lord Goose to aid you in battle, 1000 SP.</v>
      </c>
      <c r="G127" s="2">
        <f>IFERROR(__xludf.DUMMYFUNCTION("""COMPUTED_VALUE"""),0.0)</f>
        <v>0</v>
      </c>
      <c r="H127" s="2"/>
      <c r="I127" s="2"/>
      <c r="J127" s="2"/>
      <c r="K127" s="2"/>
      <c r="L127" s="2"/>
      <c r="M127" s="2"/>
      <c r="N127" s="2"/>
      <c r="O127" s="2"/>
      <c r="P127" s="2"/>
      <c r="Q127" s="2"/>
      <c r="R127" s="2"/>
      <c r="S127" s="2"/>
      <c r="T127" s="2"/>
      <c r="U127" s="2"/>
      <c r="V127" s="2"/>
      <c r="W127" s="2"/>
      <c r="X127" s="2"/>
      <c r="Y127" s="2"/>
      <c r="Z127" s="2"/>
    </row>
    <row r="128">
      <c r="A128" s="2" t="str">
        <f>IFERROR(__xludf.DUMMYFUNCTION("""COMPUTED_VALUE"""),"Grand Hellfire Sword")</f>
        <v>Grand Hellfire Sword</v>
      </c>
      <c r="B128" s="2"/>
      <c r="C128" s="2" t="str">
        <f>IFERROR(__xludf.DUMMYFUNCTION("""COMPUTED_VALUE"""),"Sword")</f>
        <v>Sword</v>
      </c>
      <c r="D128" s="2" t="str">
        <f>IFERROR(__xludf.DUMMYFUNCTION("""COMPUTED_VALUE"""),"Hand")</f>
        <v>Hand</v>
      </c>
      <c r="E128" s="2">
        <f>IFERROR(__xludf.DUMMYFUNCTION("""COMPUTED_VALUE"""),200.0)</f>
        <v>200</v>
      </c>
      <c r="F128" s="2" t="str">
        <f>IFERROR(__xludf.DUMMYFUNCTION("""COMPUTED_VALUE"""),"DMG: +50000, Fire DMG: +100000, Dark DMG: +50000, Chaos DMG: +50000, Celestial DMG: +50000 ++Upon a successful hit this weapon will have a 20% chance to summon a Grand Dark and Fire Mage, Level is determined by DM/GM. +-Cannot be Duplicated.")</f>
        <v>DMG: +50000, Fire DMG: +100000, Dark DMG: +50000, Chaos DMG: +50000, Celestial DMG: +50000 ++Upon a successful hit this weapon will have a 20% chance to summon a Grand Dark and Fire Mage, Level is determined by DM/GM. +-Cannot be Duplicated.</v>
      </c>
      <c r="G128" s="2">
        <f>IFERROR(__xludf.DUMMYFUNCTION("""COMPUTED_VALUE"""),1.797E9)</f>
        <v>1797000000</v>
      </c>
      <c r="H128" s="2"/>
      <c r="I128" s="2"/>
      <c r="J128" s="2"/>
      <c r="K128" s="2"/>
      <c r="L128" s="2"/>
      <c r="M128" s="2"/>
      <c r="N128" s="2"/>
      <c r="O128" s="2"/>
      <c r="P128" s="2"/>
      <c r="Q128" s="2"/>
      <c r="R128" s="2"/>
      <c r="S128" s="2"/>
      <c r="T128" s="2"/>
      <c r="U128" s="2"/>
      <c r="V128" s="2"/>
      <c r="W128" s="2"/>
      <c r="X128" s="2"/>
      <c r="Y128" s="2"/>
      <c r="Z128" s="2"/>
    </row>
    <row r="129">
      <c r="A129" s="2" t="str">
        <f>IFERROR(__xludf.DUMMYFUNCTION("""COMPUTED_VALUE"""),"Grand Master Bow")</f>
        <v>Grand Master Bow</v>
      </c>
      <c r="B129" s="2"/>
      <c r="C129" s="2" t="str">
        <f>IFERROR(__xludf.DUMMYFUNCTION("""COMPUTED_VALUE"""),"Bow")</f>
        <v>Bow</v>
      </c>
      <c r="D129" s="2" t="str">
        <f>IFERROR(__xludf.DUMMYFUNCTION("""COMPUTED_VALUE"""),"Hand")</f>
        <v>Hand</v>
      </c>
      <c r="E129" s="2">
        <f>IFERROR(__xludf.DUMMYFUNCTION("""COMPUTED_VALUE"""),20.0)</f>
        <v>20</v>
      </c>
      <c r="F129" s="2" t="str">
        <f>IFERROR(__xludf.DUMMYFUNCTION("""COMPUTED_VALUE"""),"DMG: +1000 ++X4 additional damage towards ranged attacks. +-Only Archers can equip. +-Cannot be duplicated. ")</f>
        <v>DMG: +1000 ++X4 additional damage towards ranged attacks. +-Only Archers can equip. +-Cannot be duplicated. </v>
      </c>
      <c r="G129" s="2">
        <f>IFERROR(__xludf.DUMMYFUNCTION("""COMPUTED_VALUE"""),10000.0)</f>
        <v>10000</v>
      </c>
      <c r="H129" s="2"/>
      <c r="I129" s="2"/>
      <c r="J129" s="2"/>
      <c r="K129" s="2"/>
      <c r="L129" s="2"/>
      <c r="M129" s="2"/>
      <c r="N129" s="2"/>
      <c r="O129" s="2"/>
      <c r="P129" s="2"/>
      <c r="Q129" s="2"/>
      <c r="R129" s="2"/>
      <c r="S129" s="2"/>
      <c r="T129" s="2"/>
      <c r="U129" s="2"/>
      <c r="V129" s="2"/>
      <c r="W129" s="2"/>
      <c r="X129" s="2"/>
      <c r="Y129" s="2"/>
      <c r="Z129" s="2"/>
    </row>
    <row r="130">
      <c r="A130" s="2" t="str">
        <f>IFERROR(__xludf.DUMMYFUNCTION("""COMPUTED_VALUE"""),"Grass Sword")</f>
        <v>Grass Sword</v>
      </c>
      <c r="B130" s="2" t="str">
        <f>IFERROR(__xludf.DUMMYFUNCTION("""COMPUTED_VALUE"""),"A strong grass entity in the form of a sword")</f>
        <v>A strong grass entity in the form of a sword</v>
      </c>
      <c r="C130" s="2" t="str">
        <f>IFERROR(__xludf.DUMMYFUNCTION("""COMPUTED_VALUE"""),"Sword")</f>
        <v>Sword</v>
      </c>
      <c r="D130" s="2" t="str">
        <f>IFERROR(__xludf.DUMMYFUNCTION("""COMPUTED_VALUE"""),"Hand")</f>
        <v>Hand</v>
      </c>
      <c r="E130" s="2">
        <f>IFERROR(__xludf.DUMMYFUNCTION("""COMPUTED_VALUE"""),1.0)</f>
        <v>1</v>
      </c>
      <c r="F130" s="2" t="str">
        <f>IFERROR(__xludf.DUMMYFUNCTION("""COMPUTED_VALUE"""),"DMG: +250")</f>
        <v>DMG: +250</v>
      </c>
      <c r="G130" s="2">
        <f>IFERROR(__xludf.DUMMYFUNCTION("""COMPUTED_VALUE"""),0.0)</f>
        <v>0</v>
      </c>
      <c r="H130" s="2"/>
      <c r="I130" s="2"/>
      <c r="J130" s="2"/>
      <c r="K130" s="2"/>
      <c r="L130" s="2"/>
      <c r="M130" s="2"/>
      <c r="N130" s="2"/>
      <c r="O130" s="2"/>
      <c r="P130" s="2"/>
      <c r="Q130" s="2"/>
      <c r="R130" s="2"/>
      <c r="S130" s="2"/>
      <c r="T130" s="2"/>
      <c r="U130" s="2"/>
      <c r="V130" s="2"/>
      <c r="W130" s="2"/>
      <c r="X130" s="2"/>
      <c r="Y130" s="2"/>
      <c r="Z130" s="2"/>
    </row>
    <row r="131">
      <c r="A131" s="2" t="str">
        <f>IFERROR(__xludf.DUMMYFUNCTION("""COMPUTED_VALUE"""),"Great Stone Gargoyle Sword")</f>
        <v>Great Stone Gargoyle Sword</v>
      </c>
      <c r="B131" s="2"/>
      <c r="C131" s="2" t="str">
        <f>IFERROR(__xludf.DUMMYFUNCTION("""COMPUTED_VALUE"""),"Sword")</f>
        <v>Sword</v>
      </c>
      <c r="D131" s="2" t="str">
        <f>IFERROR(__xludf.DUMMYFUNCTION("""COMPUTED_VALUE"""),"Hand")</f>
        <v>Hand</v>
      </c>
      <c r="E131" s="2">
        <f>IFERROR(__xludf.DUMMYFUNCTION("""COMPUTED_VALUE"""),4000.0)</f>
        <v>4000</v>
      </c>
      <c r="F131" s="2" t="str">
        <f>IFERROR(__xludf.DUMMYFUNCTION("""COMPUTED_VALUE"""),"DMG: +100000, Earth DMG: +100000 ++When this weapon is equipped the wielder gets X2 Attack and Defence, +-Cannot be duplicated.")</f>
        <v>DMG: +100000, Earth DMG: +100000 ++When this weapon is equipped the wielder gets X2 Attack and Defence, +-Cannot be duplicated.</v>
      </c>
      <c r="G131" s="2">
        <f>IFERROR(__xludf.DUMMYFUNCTION("""COMPUTED_VALUE"""),7.98E8)</f>
        <v>798000000</v>
      </c>
      <c r="H131" s="2"/>
      <c r="I131" s="2"/>
      <c r="J131" s="2"/>
      <c r="K131" s="2"/>
      <c r="L131" s="2"/>
      <c r="M131" s="2"/>
      <c r="N131" s="2"/>
      <c r="O131" s="2"/>
      <c r="P131" s="2"/>
      <c r="Q131" s="2"/>
      <c r="R131" s="2"/>
      <c r="S131" s="2"/>
      <c r="T131" s="2"/>
      <c r="U131" s="2"/>
      <c r="V131" s="2"/>
      <c r="W131" s="2"/>
      <c r="X131" s="2"/>
      <c r="Y131" s="2"/>
      <c r="Z131" s="2"/>
    </row>
    <row r="132">
      <c r="A132" s="2" t="str">
        <f>IFERROR(__xludf.DUMMYFUNCTION("""COMPUTED_VALUE"""),"Greaves of The Sea Serpent")</f>
        <v>Greaves of The Sea Serpent</v>
      </c>
      <c r="B132" s="2"/>
      <c r="C132" s="2"/>
      <c r="D132" s="2" t="str">
        <f>IFERROR(__xludf.DUMMYFUNCTION("""COMPUTED_VALUE"""),"Legs")</f>
        <v>Legs</v>
      </c>
      <c r="E132" s="2">
        <f>IFERROR(__xludf.DUMMYFUNCTION("""COMPUTED_VALUE"""),100.0)</f>
        <v>100</v>
      </c>
      <c r="F132" s="2" t="str">
        <f>IFERROR(__xludf.DUMMYFUNCTION("""COMPUTED_VALUE"""),"DEF: +2500, Water DEF: +2500 ++X2 additional water damage for self.")</f>
        <v>DEF: +2500, Water DEF: +2500 ++X2 additional water damage for self.</v>
      </c>
      <c r="G132" s="2">
        <f>IFERROR(__xludf.DUMMYFUNCTION("""COMPUTED_VALUE"""),450000.0)</f>
        <v>450000</v>
      </c>
      <c r="H132" s="2"/>
      <c r="I132" s="2"/>
      <c r="J132" s="2"/>
      <c r="K132" s="2"/>
      <c r="L132" s="2"/>
      <c r="M132" s="2"/>
      <c r="N132" s="2"/>
      <c r="O132" s="2"/>
      <c r="P132" s="2"/>
      <c r="Q132" s="2"/>
      <c r="R132" s="2"/>
      <c r="S132" s="2"/>
      <c r="T132" s="2"/>
      <c r="U132" s="2"/>
      <c r="V132" s="2"/>
      <c r="W132" s="2"/>
      <c r="X132" s="2"/>
      <c r="Y132" s="2"/>
      <c r="Z132" s="2"/>
    </row>
    <row r="133">
      <c r="A133" s="2" t="str">
        <f>IFERROR(__xludf.DUMMYFUNCTION("""COMPUTED_VALUE"""),"Greaves of Waking Waters")</f>
        <v>Greaves of Waking Waters</v>
      </c>
      <c r="B133" s="2"/>
      <c r="C133" s="2"/>
      <c r="D133" s="2" t="str">
        <f>IFERROR(__xludf.DUMMYFUNCTION("""COMPUTED_VALUE"""),"Legs")</f>
        <v>Legs</v>
      </c>
      <c r="E133" s="2">
        <f>IFERROR(__xludf.DUMMYFUNCTION("""COMPUTED_VALUE"""),200.0)</f>
        <v>200</v>
      </c>
      <c r="F133" s="2" t="str">
        <f>IFERROR(__xludf.DUMMYFUNCTION("""COMPUTED_VALUE"""),"DEF: +5000, Water DEF: +5000 ++X4 additional water damage for self.")</f>
        <v>DEF: +5000, Water DEF: +5000 ++X4 additional water damage for self.</v>
      </c>
      <c r="G133" s="2">
        <f>IFERROR(__xludf.DUMMYFUNCTION("""COMPUTED_VALUE"""),1900000.0)</f>
        <v>1900000</v>
      </c>
      <c r="H133" s="2"/>
      <c r="I133" s="2"/>
      <c r="J133" s="2"/>
      <c r="K133" s="2"/>
      <c r="L133" s="2"/>
      <c r="M133" s="2"/>
      <c r="N133" s="2"/>
      <c r="O133" s="2"/>
      <c r="P133" s="2"/>
      <c r="Q133" s="2"/>
      <c r="R133" s="2"/>
      <c r="S133" s="2"/>
      <c r="T133" s="2"/>
      <c r="U133" s="2"/>
      <c r="V133" s="2"/>
      <c r="W133" s="2"/>
      <c r="X133" s="2"/>
      <c r="Y133" s="2"/>
      <c r="Z133" s="2"/>
    </row>
    <row r="134">
      <c r="A134" s="2" t="str">
        <f>IFERROR(__xludf.DUMMYFUNCTION("""COMPUTED_VALUE"""),"Halloween Staff")</f>
        <v>Halloween Staff</v>
      </c>
      <c r="B134" s="2" t="str">
        <f>IFERROR(__xludf.DUMMYFUNCTION("""COMPUTED_VALUE"""),"Halloween exclusive")</f>
        <v>Halloween exclusive</v>
      </c>
      <c r="C134" s="2" t="str">
        <f>IFERROR(__xludf.DUMMYFUNCTION("""COMPUTED_VALUE"""),"Staff")</f>
        <v>Staff</v>
      </c>
      <c r="D134" s="2" t="str">
        <f>IFERROR(__xludf.DUMMYFUNCTION("""COMPUTED_VALUE"""),"Hand")</f>
        <v>Hand</v>
      </c>
      <c r="E134" s="2">
        <f>IFERROR(__xludf.DUMMYFUNCTION("""COMPUTED_VALUE"""),1.0)</f>
        <v>1</v>
      </c>
      <c r="F134" s="2" t="str">
        <f>IFERROR(__xludf.DUMMYFUNCTION("""COMPUTED_VALUE""")," ++Transform into the Headless Horseman for 3 rounds.")</f>
        <v> ++Transform into the Headless Horseman for 3 rounds.</v>
      </c>
      <c r="G134" s="2">
        <f>IFERROR(__xludf.DUMMYFUNCTION("""COMPUTED_VALUE"""),0.0)</f>
        <v>0</v>
      </c>
      <c r="H134" s="2"/>
      <c r="I134" s="2"/>
      <c r="J134" s="2"/>
      <c r="K134" s="2"/>
      <c r="L134" s="2"/>
      <c r="M134" s="2"/>
      <c r="N134" s="2"/>
      <c r="O134" s="2"/>
      <c r="P134" s="2"/>
      <c r="Q134" s="2"/>
      <c r="R134" s="2"/>
      <c r="S134" s="2"/>
      <c r="T134" s="2"/>
      <c r="U134" s="2"/>
      <c r="V134" s="2"/>
      <c r="W134" s="2"/>
      <c r="X134" s="2"/>
      <c r="Y134" s="2"/>
      <c r="Z134" s="2"/>
    </row>
    <row r="135">
      <c r="A135" s="2" t="str">
        <f>IFERROR(__xludf.DUMMYFUNCTION("""COMPUTED_VALUE"""),"Hammer of Chaotic Shadows")</f>
        <v>Hammer of Chaotic Shadows</v>
      </c>
      <c r="B135" s="2"/>
      <c r="C135" s="2" t="str">
        <f>IFERROR(__xludf.DUMMYFUNCTION("""COMPUTED_VALUE"""),"Club")</f>
        <v>Club</v>
      </c>
      <c r="D135" s="2" t="str">
        <f>IFERROR(__xludf.DUMMYFUNCTION("""COMPUTED_VALUE"""),"Hand")</f>
        <v>Hand</v>
      </c>
      <c r="E135" s="2">
        <f>IFERROR(__xludf.DUMMYFUNCTION("""COMPUTED_VALUE"""),300.0)</f>
        <v>300</v>
      </c>
      <c r="F135" s="2" t="str">
        <f>IFERROR(__xludf.DUMMYFUNCTION("""COMPUTED_VALUE"""),"DMG: +5000, Dark DMG: +5000, Chaos DMG: +5000 ++X2 Additional Dark and Chaos Damage. ")</f>
        <v>DMG: +5000, Dark DMG: +5000, Chaos DMG: +5000 ++X2 Additional Dark and Chaos Damage. </v>
      </c>
      <c r="G135" s="2">
        <f>IFERROR(__xludf.DUMMYFUNCTION("""COMPUTED_VALUE"""),4350000.0)</f>
        <v>4350000</v>
      </c>
      <c r="H135" s="2"/>
      <c r="I135" s="2"/>
      <c r="J135" s="2"/>
      <c r="K135" s="2"/>
      <c r="L135" s="2"/>
      <c r="M135" s="2"/>
      <c r="N135" s="2"/>
      <c r="O135" s="2"/>
      <c r="P135" s="2"/>
      <c r="Q135" s="2"/>
      <c r="R135" s="2"/>
      <c r="S135" s="2"/>
      <c r="T135" s="2"/>
      <c r="U135" s="2"/>
      <c r="V135" s="2"/>
      <c r="W135" s="2"/>
      <c r="X135" s="2"/>
      <c r="Y135" s="2"/>
      <c r="Z135" s="2"/>
    </row>
    <row r="136">
      <c r="A136" s="2" t="str">
        <f>IFERROR(__xludf.DUMMYFUNCTION("""COMPUTED_VALUE"""),"Hardened Ice Sickle")</f>
        <v>Hardened Ice Sickle</v>
      </c>
      <c r="B136" s="2" t="str">
        <f>IFERROR(__xludf.DUMMYFUNCTION("""COMPUTED_VALUE"""),"Event Exclusive")</f>
        <v>Event Exclusive</v>
      </c>
      <c r="C136" s="2" t="str">
        <f>IFERROR(__xludf.DUMMYFUNCTION("""COMPUTED_VALUE"""),"Knife")</f>
        <v>Knife</v>
      </c>
      <c r="D136" s="2" t="str">
        <f>IFERROR(__xludf.DUMMYFUNCTION("""COMPUTED_VALUE"""),"Hand")</f>
        <v>Hand</v>
      </c>
      <c r="E136" s="2">
        <f>IFERROR(__xludf.DUMMYFUNCTION("""COMPUTED_VALUE"""),200.0)</f>
        <v>200</v>
      </c>
      <c r="F136" s="2" t="str">
        <f>IFERROR(__xludf.DUMMYFUNCTION("""COMPUTED_VALUE"""),"DMG: +5000, Water DMG: +5000 ++75% chance to freeze the target.")</f>
        <v>DMG: +5000, Water DMG: +5000 ++75% chance to freeze the target.</v>
      </c>
      <c r="G136" s="2">
        <f>IFERROR(__xludf.DUMMYFUNCTION("""COMPUTED_VALUE"""),1900000.0)</f>
        <v>1900000</v>
      </c>
      <c r="H136" s="2"/>
      <c r="I136" s="2"/>
      <c r="J136" s="2"/>
      <c r="K136" s="2"/>
      <c r="L136" s="2"/>
      <c r="M136" s="2"/>
      <c r="N136" s="2"/>
      <c r="O136" s="2"/>
      <c r="P136" s="2"/>
      <c r="Q136" s="2"/>
      <c r="R136" s="2"/>
      <c r="S136" s="2"/>
      <c r="T136" s="2"/>
      <c r="U136" s="2"/>
      <c r="V136" s="2"/>
      <c r="W136" s="2"/>
      <c r="X136" s="2"/>
      <c r="Y136" s="2"/>
      <c r="Z136" s="2"/>
    </row>
    <row r="137">
      <c r="A137" s="2" t="str">
        <f>IFERROR(__xludf.DUMMYFUNCTION("""COMPUTED_VALUE"""),"Haunted Katana")</f>
        <v>Haunted Katana</v>
      </c>
      <c r="B137" s="2"/>
      <c r="C137" s="2" t="str">
        <f>IFERROR(__xludf.DUMMYFUNCTION("""COMPUTED_VALUE"""),"Sword")</f>
        <v>Sword</v>
      </c>
      <c r="D137" s="2" t="str">
        <f>IFERROR(__xludf.DUMMYFUNCTION("""COMPUTED_VALUE"""),"Hand")</f>
        <v>Hand</v>
      </c>
      <c r="E137" s="2">
        <f>IFERROR(__xludf.DUMMYFUNCTION("""COMPUTED_VALUE"""),600.0)</f>
        <v>600</v>
      </c>
      <c r="F137" s="2" t="str">
        <f>IFERROR(__xludf.DUMMYFUNCTION("""COMPUTED_VALUE"""),"DMG: +10000, Dark DMG: +10000, Spirit DMG: +10000 +-You go last during the turn order in battle.. ")</f>
        <v>DMG: +10000, Dark DMG: +10000, Spirit DMG: +10000 +-You go last during the turn order in battle.. </v>
      </c>
      <c r="G137" s="2">
        <f>IFERROR(__xludf.DUMMYFUNCTION("""COMPUTED_VALUE"""),1.77E7)</f>
        <v>17700000</v>
      </c>
      <c r="H137" s="2"/>
      <c r="I137" s="2"/>
      <c r="J137" s="2"/>
      <c r="K137" s="2"/>
      <c r="L137" s="2"/>
      <c r="M137" s="2"/>
      <c r="N137" s="2"/>
      <c r="O137" s="2"/>
      <c r="P137" s="2"/>
      <c r="Q137" s="2"/>
      <c r="R137" s="2"/>
      <c r="S137" s="2"/>
      <c r="T137" s="2"/>
      <c r="U137" s="2"/>
      <c r="V137" s="2"/>
      <c r="W137" s="2"/>
      <c r="X137" s="2"/>
      <c r="Y137" s="2"/>
      <c r="Z137" s="2"/>
    </row>
    <row r="138">
      <c r="A138" s="2" t="str">
        <f>IFERROR(__xludf.DUMMYFUNCTION("""COMPUTED_VALUE"""),"Haunted King's Favorite Shield")</f>
        <v>Haunted King's Favorite Shield</v>
      </c>
      <c r="B138" s="2" t="str">
        <f>IFERROR(__xludf.DUMMYFUNCTION("""COMPUTED_VALUE"""),"Halloween exclusive")</f>
        <v>Halloween exclusive</v>
      </c>
      <c r="C138" s="2" t="str">
        <f>IFERROR(__xludf.DUMMYFUNCTION("""COMPUTED_VALUE"""),"Towershield")</f>
        <v>Towershield</v>
      </c>
      <c r="D138" s="2" t="str">
        <f>IFERROR(__xludf.DUMMYFUNCTION("""COMPUTED_VALUE"""),"Hand")</f>
        <v>Hand</v>
      </c>
      <c r="E138" s="2">
        <f>IFERROR(__xludf.DUMMYFUNCTION("""COMPUTED_VALUE"""),20.0)</f>
        <v>20</v>
      </c>
      <c r="F138" s="2" t="str">
        <f>IFERROR(__xludf.DUMMYFUNCTION("""COMPUTED_VALUE"""),"DEF: +1000 ++Great Block - When attacked you will take no damage until your next turn, Costs All SP and sets Users HP to 1.")</f>
        <v>DEF: +1000 ++Great Block - When attacked you will take no damage until your next turn, Costs All SP and sets Users HP to 1.</v>
      </c>
      <c r="G138" s="2">
        <f>IFERROR(__xludf.DUMMYFUNCTION("""COMPUTED_VALUE"""),10000.0)</f>
        <v>10000</v>
      </c>
      <c r="H138" s="2"/>
      <c r="I138" s="2"/>
      <c r="J138" s="2"/>
      <c r="K138" s="2"/>
      <c r="L138" s="2"/>
      <c r="M138" s="2"/>
      <c r="N138" s="2"/>
      <c r="O138" s="2"/>
      <c r="P138" s="2"/>
      <c r="Q138" s="2"/>
      <c r="R138" s="2"/>
      <c r="S138" s="2"/>
      <c r="T138" s="2"/>
      <c r="U138" s="2"/>
      <c r="V138" s="2"/>
      <c r="W138" s="2"/>
      <c r="X138" s="2"/>
      <c r="Y138" s="2"/>
      <c r="Z138" s="2"/>
    </row>
    <row r="139">
      <c r="A139" s="2" t="str">
        <f>IFERROR(__xludf.DUMMYFUNCTION("""COMPUTED_VALUE"""),"Haunted King's Favorite Sword")</f>
        <v>Haunted King's Favorite Sword</v>
      </c>
      <c r="B139" s="2" t="str">
        <f>IFERROR(__xludf.DUMMYFUNCTION("""COMPUTED_VALUE"""),"Halloween exclusive")</f>
        <v>Halloween exclusive</v>
      </c>
      <c r="C139" s="2" t="str">
        <f>IFERROR(__xludf.DUMMYFUNCTION("""COMPUTED_VALUE"""),"Sword")</f>
        <v>Sword</v>
      </c>
      <c r="D139" s="2" t="str">
        <f>IFERROR(__xludf.DUMMYFUNCTION("""COMPUTED_VALUE"""),"Hand")</f>
        <v>Hand</v>
      </c>
      <c r="E139" s="2">
        <f>IFERROR(__xludf.DUMMYFUNCTION("""COMPUTED_VALUE"""),60.0)</f>
        <v>60</v>
      </c>
      <c r="F139" s="2" t="str">
        <f>IFERROR(__xludf.DUMMYFUNCTION("""COMPUTED_VALUE"""),"DMG: +3000 ++Piercing Strike - Ignores all Def when attacking with this weapon ++gain 1000 SP upon a successful hit. +-Cannot be duplicated")</f>
        <v>DMG: +3000 ++Piercing Strike - Ignores all Def when attacking with this weapon ++gain 1000 SP upon a successful hit. +-Cannot be duplicated</v>
      </c>
      <c r="G139" s="2">
        <f>IFERROR(__xludf.DUMMYFUNCTION("""COMPUTED_VALUE"""),150000.0)</f>
        <v>150000</v>
      </c>
      <c r="H139" s="2"/>
      <c r="I139" s="2"/>
      <c r="J139" s="2"/>
      <c r="K139" s="2"/>
      <c r="L139" s="2"/>
      <c r="M139" s="2"/>
      <c r="N139" s="2"/>
      <c r="O139" s="2"/>
      <c r="P139" s="2"/>
      <c r="Q139" s="2"/>
      <c r="R139" s="2"/>
      <c r="S139" s="2"/>
      <c r="T139" s="2"/>
      <c r="U139" s="2"/>
      <c r="V139" s="2"/>
      <c r="W139" s="2"/>
      <c r="X139" s="2"/>
      <c r="Y139" s="2"/>
      <c r="Z139" s="2"/>
    </row>
    <row r="140">
      <c r="A140" s="2" t="str">
        <f>IFERROR(__xludf.DUMMYFUNCTION("""COMPUTED_VALUE"""),"Heatmore Flame Golem Head")</f>
        <v>Heatmore Flame Golem Head</v>
      </c>
      <c r="B140" s="2"/>
      <c r="C140" s="2"/>
      <c r="D140" s="2" t="str">
        <f>IFERROR(__xludf.DUMMYFUNCTION("""COMPUTED_VALUE"""),"Head")</f>
        <v>Head</v>
      </c>
      <c r="E140" s="2">
        <f>IFERROR(__xludf.DUMMYFUNCTION("""COMPUTED_VALUE"""),300.0)</f>
        <v>300</v>
      </c>
      <c r="F140" s="2" t="str">
        <f>IFERROR(__xludf.DUMMYFUNCTION("""COMPUTED_VALUE"""),"DEF: +5000, Fire DEF: +5000, Earth DEF: +5000 ++X2 additional Earth and Fire Resistance.")</f>
        <v>DEF: +5000, Fire DEF: +5000, Earth DEF: +5000 ++X2 additional Earth and Fire Resistance.</v>
      </c>
      <c r="G140" s="2">
        <f>IFERROR(__xludf.DUMMYFUNCTION("""COMPUTED_VALUE"""),4350000.0)</f>
        <v>4350000</v>
      </c>
      <c r="H140" s="2"/>
      <c r="I140" s="2"/>
      <c r="J140" s="2"/>
      <c r="K140" s="2"/>
      <c r="L140" s="2"/>
      <c r="M140" s="2"/>
      <c r="N140" s="2"/>
      <c r="O140" s="2"/>
      <c r="P140" s="2"/>
      <c r="Q140" s="2"/>
      <c r="R140" s="2"/>
      <c r="S140" s="2"/>
      <c r="T140" s="2"/>
      <c r="U140" s="2"/>
      <c r="V140" s="2"/>
      <c r="W140" s="2"/>
      <c r="X140" s="2"/>
      <c r="Y140" s="2"/>
      <c r="Z140" s="2"/>
    </row>
    <row r="141">
      <c r="A141" s="2" t="str">
        <f>IFERROR(__xludf.DUMMYFUNCTION("""COMPUTED_VALUE"""),"Helmet of Darkness")</f>
        <v>Helmet of Darkness</v>
      </c>
      <c r="B141" s="2"/>
      <c r="C141" s="2"/>
      <c r="D141" s="2" t="str">
        <f>IFERROR(__xludf.DUMMYFUNCTION("""COMPUTED_VALUE"""),"Head")</f>
        <v>Head</v>
      </c>
      <c r="E141" s="2">
        <f>IFERROR(__xludf.DUMMYFUNCTION("""COMPUTED_VALUE"""),400.0)</f>
        <v>400</v>
      </c>
      <c r="F141" s="2" t="str">
        <f>IFERROR(__xludf.DUMMYFUNCTION("""COMPUTED_VALUE"""),"DEF: +10000, Dark DEF: +10000 ++Immunity to Dark damage.")</f>
        <v>DEF: +10000, Dark DEF: +10000 ++Immunity to Dark damage.</v>
      </c>
      <c r="G141" s="2">
        <f>IFERROR(__xludf.DUMMYFUNCTION("""COMPUTED_VALUE"""),7800000.0)</f>
        <v>7800000</v>
      </c>
      <c r="H141" s="2"/>
      <c r="I141" s="2"/>
      <c r="J141" s="2"/>
      <c r="K141" s="2"/>
      <c r="L141" s="2"/>
      <c r="M141" s="2"/>
      <c r="N141" s="2"/>
      <c r="O141" s="2"/>
      <c r="P141" s="2"/>
      <c r="Q141" s="2"/>
      <c r="R141" s="2"/>
      <c r="S141" s="2"/>
      <c r="T141" s="2"/>
      <c r="U141" s="2"/>
      <c r="V141" s="2"/>
      <c r="W141" s="2"/>
      <c r="X141" s="2"/>
      <c r="Y141" s="2"/>
      <c r="Z141" s="2"/>
    </row>
    <row r="142">
      <c r="A142" s="2" t="str">
        <f>IFERROR(__xludf.DUMMYFUNCTION("""COMPUTED_VALUE"""),"Helmet of Waking Waters")</f>
        <v>Helmet of Waking Waters</v>
      </c>
      <c r="B142" s="2"/>
      <c r="C142" s="2"/>
      <c r="D142" s="2" t="str">
        <f>IFERROR(__xludf.DUMMYFUNCTION("""COMPUTED_VALUE"""),"Head")</f>
        <v>Head</v>
      </c>
      <c r="E142" s="2">
        <f>IFERROR(__xludf.DUMMYFUNCTION("""COMPUTED_VALUE"""),200.0)</f>
        <v>200</v>
      </c>
      <c r="F142" s="2" t="str">
        <f>IFERROR(__xludf.DUMMYFUNCTION("""COMPUTED_VALUE"""),"DEF: +5000, Water DEF: +5000 ++X4 additional water damage.")</f>
        <v>DEF: +5000, Water DEF: +5000 ++X4 additional water damage.</v>
      </c>
      <c r="G142" s="2">
        <f>IFERROR(__xludf.DUMMYFUNCTION("""COMPUTED_VALUE"""),1900000.0)</f>
        <v>1900000</v>
      </c>
      <c r="H142" s="2"/>
      <c r="I142" s="2"/>
      <c r="J142" s="2"/>
      <c r="K142" s="2"/>
      <c r="L142" s="2"/>
      <c r="M142" s="2"/>
      <c r="N142" s="2"/>
      <c r="O142" s="2"/>
      <c r="P142" s="2"/>
      <c r="Q142" s="2"/>
      <c r="R142" s="2"/>
      <c r="S142" s="2"/>
      <c r="T142" s="2"/>
      <c r="U142" s="2"/>
      <c r="V142" s="2"/>
      <c r="W142" s="2"/>
      <c r="X142" s="2"/>
      <c r="Y142" s="2"/>
      <c r="Z142" s="2"/>
    </row>
    <row r="143">
      <c r="A143" s="2" t="str">
        <f>IFERROR(__xludf.DUMMYFUNCTION("""COMPUTED_VALUE"""),"High Range Bow")</f>
        <v>High Range Bow</v>
      </c>
      <c r="B143" s="2"/>
      <c r="C143" s="2" t="str">
        <f>IFERROR(__xludf.DUMMYFUNCTION("""COMPUTED_VALUE"""),"Bow")</f>
        <v>Bow</v>
      </c>
      <c r="D143" s="2" t="str">
        <f>IFERROR(__xludf.DUMMYFUNCTION("""COMPUTED_VALUE"""),"Hand")</f>
        <v>Hand</v>
      </c>
      <c r="E143" s="2">
        <f>IFERROR(__xludf.DUMMYFUNCTION("""COMPUTED_VALUE"""),10.0)</f>
        <v>10</v>
      </c>
      <c r="F143" s="2" t="str">
        <f>IFERROR(__xludf.DUMMYFUNCTION("""COMPUTED_VALUE"""),"DMG: +500 ++Hawkeye: X2 more arrow damage and ranged attacks deal half damage that are dealt to the wearer. ")</f>
        <v>DMG: +500 ++Hawkeye: X2 more arrow damage and ranged attacks deal half damage that are dealt to the wearer. </v>
      </c>
      <c r="G143" s="2">
        <f>IFERROR(__xludf.DUMMYFUNCTION("""COMPUTED_VALUE"""),1000.0)</f>
        <v>1000</v>
      </c>
      <c r="H143" s="2"/>
      <c r="I143" s="2"/>
      <c r="J143" s="2"/>
      <c r="K143" s="2"/>
      <c r="L143" s="2"/>
      <c r="M143" s="2"/>
      <c r="N143" s="2"/>
      <c r="O143" s="2"/>
      <c r="P143" s="2"/>
      <c r="Q143" s="2"/>
      <c r="R143" s="2"/>
      <c r="S143" s="2"/>
      <c r="T143" s="2"/>
      <c r="U143" s="2"/>
      <c r="V143" s="2"/>
      <c r="W143" s="2"/>
      <c r="X143" s="2"/>
      <c r="Y143" s="2"/>
      <c r="Z143" s="2"/>
    </row>
    <row r="144">
      <c r="A144" s="2" t="str">
        <f>IFERROR(__xludf.DUMMYFUNCTION("""COMPUTED_VALUE"""),"Horn of The Forgotten")</f>
        <v>Horn of The Forgotten</v>
      </c>
      <c r="B144" s="2"/>
      <c r="C144" s="2" t="str">
        <f>IFERROR(__xludf.DUMMYFUNCTION("""COMPUTED_VALUE"""),"Wand")</f>
        <v>Wand</v>
      </c>
      <c r="D144" s="2" t="str">
        <f>IFERROR(__xludf.DUMMYFUNCTION("""COMPUTED_VALUE"""),"Hand")</f>
        <v>Hand</v>
      </c>
      <c r="E144" s="2">
        <f>IFERROR(__xludf.DUMMYFUNCTION("""COMPUTED_VALUE"""),1.0)</f>
        <v>1</v>
      </c>
      <c r="F144" s="2" t="str">
        <f>IFERROR(__xludf.DUMMYFUNCTION("""COMPUTED_VALUE""")," ++Calls upon a lost soul to aid you in battle. The lost soul increases your max health defence and attack by double its original for the rest of battle. +-Can only be used once per battle. +-Cannot be duplicated")</f>
        <v> ++Calls upon a lost soul to aid you in battle. The lost soul increases your max health defence and attack by double its original for the rest of battle. +-Can only be used once per battle. +-Cannot be duplicated</v>
      </c>
      <c r="G144" s="2">
        <f>IFERROR(__xludf.DUMMYFUNCTION("""COMPUTED_VALUE"""),0.0)</f>
        <v>0</v>
      </c>
      <c r="H144" s="2"/>
      <c r="I144" s="2"/>
      <c r="J144" s="2"/>
      <c r="K144" s="2"/>
      <c r="L144" s="2"/>
      <c r="M144" s="2"/>
      <c r="N144" s="2"/>
      <c r="O144" s="2"/>
      <c r="P144" s="2"/>
      <c r="Q144" s="2"/>
      <c r="R144" s="2"/>
      <c r="S144" s="2"/>
      <c r="T144" s="2"/>
      <c r="U144" s="2"/>
      <c r="V144" s="2"/>
      <c r="W144" s="2"/>
      <c r="X144" s="2"/>
      <c r="Y144" s="2"/>
      <c r="Z144" s="2"/>
    </row>
    <row r="145">
      <c r="A145" s="2" t="str">
        <f>IFERROR(__xludf.DUMMYFUNCTION("""COMPUTED_VALUE"""),"Houyi's Bow")</f>
        <v>Houyi's Bow</v>
      </c>
      <c r="B145" s="2"/>
      <c r="C145" s="2" t="str">
        <f>IFERROR(__xludf.DUMMYFUNCTION("""COMPUTED_VALUE"""),"Bow")</f>
        <v>Bow</v>
      </c>
      <c r="D145" s="2" t="str">
        <f>IFERROR(__xludf.DUMMYFUNCTION("""COMPUTED_VALUE"""),"Hand")</f>
        <v>Hand</v>
      </c>
      <c r="E145" s="2">
        <f>IFERROR(__xludf.DUMMYFUNCTION("""COMPUTED_VALUE"""),400.0)</f>
        <v>400</v>
      </c>
      <c r="F145" s="2" t="str">
        <f>IFERROR(__xludf.DUMMYFUNCTION("""COMPUTED_VALUE"""),"DMG: +20000 ++Skill Shot - gives the wielder X2 accuracy and X2 damage for bows.")</f>
        <v>DMG: +20000 ++Skill Shot - gives the wielder X2 accuracy and X2 damage for bows.</v>
      </c>
      <c r="G145" s="2">
        <f>IFERROR(__xludf.DUMMYFUNCTION("""COMPUTED_VALUE"""),7800000.0)</f>
        <v>7800000</v>
      </c>
      <c r="H145" s="2"/>
      <c r="I145" s="2"/>
      <c r="J145" s="2"/>
      <c r="K145" s="2"/>
      <c r="L145" s="2"/>
      <c r="M145" s="2"/>
      <c r="N145" s="2"/>
      <c r="O145" s="2"/>
      <c r="P145" s="2"/>
      <c r="Q145" s="2"/>
      <c r="R145" s="2"/>
      <c r="S145" s="2"/>
      <c r="T145" s="2"/>
      <c r="U145" s="2"/>
      <c r="V145" s="2"/>
      <c r="W145" s="2"/>
      <c r="X145" s="2"/>
      <c r="Y145" s="2"/>
      <c r="Z145" s="2"/>
    </row>
    <row r="146">
      <c r="A146" s="2" t="str">
        <f>IFERROR(__xludf.DUMMYFUNCTION("""COMPUTED_VALUE"""),"Ice Blade")</f>
        <v>Ice Blade</v>
      </c>
      <c r="B146" s="2"/>
      <c r="C146" s="2" t="str">
        <f>IFERROR(__xludf.DUMMYFUNCTION("""COMPUTED_VALUE"""),"Sword")</f>
        <v>Sword</v>
      </c>
      <c r="D146" s="2" t="str">
        <f>IFERROR(__xludf.DUMMYFUNCTION("""COMPUTED_VALUE"""),"Hand")</f>
        <v>Hand</v>
      </c>
      <c r="E146" s="2">
        <f>IFERROR(__xludf.DUMMYFUNCTION("""COMPUTED_VALUE"""),100.0)</f>
        <v>100</v>
      </c>
      <c r="F146" s="2" t="str">
        <f>IFERROR(__xludf.DUMMYFUNCTION("""COMPUTED_VALUE"""),"DMG: +2000, Water DMG: +3000 ++50% chance to freeze the target.")</f>
        <v>DMG: +2000, Water DMG: +3000 ++50% chance to freeze the target.</v>
      </c>
      <c r="G146" s="2">
        <f>IFERROR(__xludf.DUMMYFUNCTION("""COMPUTED_VALUE"""),450000.0)</f>
        <v>450000</v>
      </c>
      <c r="H146" s="2"/>
      <c r="I146" s="2"/>
      <c r="J146" s="2"/>
      <c r="K146" s="2"/>
      <c r="L146" s="2"/>
      <c r="M146" s="2"/>
      <c r="N146" s="2"/>
      <c r="O146" s="2"/>
      <c r="P146" s="2"/>
      <c r="Q146" s="2"/>
      <c r="R146" s="2"/>
      <c r="S146" s="2"/>
      <c r="T146" s="2"/>
      <c r="U146" s="2"/>
      <c r="V146" s="2"/>
      <c r="W146" s="2"/>
      <c r="X146" s="2"/>
      <c r="Y146" s="2"/>
      <c r="Z146" s="2"/>
    </row>
    <row r="147">
      <c r="A147" s="2" t="str">
        <f>IFERROR(__xludf.DUMMYFUNCTION("""COMPUTED_VALUE"""),"Inferno Staff")</f>
        <v>Inferno Staff</v>
      </c>
      <c r="B147" s="2"/>
      <c r="C147" s="2" t="str">
        <f>IFERROR(__xludf.DUMMYFUNCTION("""COMPUTED_VALUE"""),"Staff")</f>
        <v>Staff</v>
      </c>
      <c r="D147" s="2" t="str">
        <f>IFERROR(__xludf.DUMMYFUNCTION("""COMPUTED_VALUE"""),"Hand")</f>
        <v>Hand</v>
      </c>
      <c r="E147" s="2">
        <f>IFERROR(__xludf.DUMMYFUNCTION("""COMPUTED_VALUE"""),200.0)</f>
        <v>200</v>
      </c>
      <c r="F147" s="2" t="str">
        <f>IFERROR(__xludf.DUMMYFUNCTION("""COMPUTED_VALUE"""),", Fire : +10000 ++Burn 10,000 to 1 target for 3 rounds. 100sp.")</f>
        <v>, Fire : +10000 ++Burn 10,000 to 1 target for 3 rounds. 100sp.</v>
      </c>
      <c r="G147" s="2">
        <f>IFERROR(__xludf.DUMMYFUNCTION("""COMPUTED_VALUE"""),1900000.0)</f>
        <v>1900000</v>
      </c>
      <c r="H147" s="2"/>
      <c r="I147" s="2"/>
      <c r="J147" s="2"/>
      <c r="K147" s="2"/>
      <c r="L147" s="2"/>
      <c r="M147" s="2"/>
      <c r="N147" s="2"/>
      <c r="O147" s="2"/>
      <c r="P147" s="2"/>
      <c r="Q147" s="2"/>
      <c r="R147" s="2"/>
      <c r="S147" s="2"/>
      <c r="T147" s="2"/>
      <c r="U147" s="2"/>
      <c r="V147" s="2"/>
      <c r="W147" s="2"/>
      <c r="X147" s="2"/>
      <c r="Y147" s="2"/>
      <c r="Z147" s="2"/>
    </row>
    <row r="148">
      <c r="A148" s="2" t="str">
        <f>IFERROR(__xludf.DUMMYFUNCTION("""COMPUTED_VALUE"""),"Jack's Special Archer Robe")</f>
        <v>Jack's Special Archer Robe</v>
      </c>
      <c r="B148" s="2" t="str">
        <f>IFERROR(__xludf.DUMMYFUNCTION("""COMPUTED_VALUE"""),"Halloween exclusive")</f>
        <v>Halloween exclusive</v>
      </c>
      <c r="C148" s="2"/>
      <c r="D148" s="2" t="str">
        <f>IFERROR(__xludf.DUMMYFUNCTION("""COMPUTED_VALUE"""),"Torso")</f>
        <v>Torso</v>
      </c>
      <c r="E148" s="2">
        <f>IFERROR(__xludf.DUMMYFUNCTION("""COMPUTED_VALUE"""),20.0)</f>
        <v>20</v>
      </c>
      <c r="F148" s="2" t="str">
        <f>IFERROR(__xludf.DUMMYFUNCTION("""COMPUTED_VALUE"""),"DEF: +900 ++Range Spells cost half the SP cost and all damage is doubled for ranged spells +-Archer Class Only")</f>
        <v>DEF: +900 ++Range Spells cost half the SP cost and all damage is doubled for ranged spells +-Archer Class Only</v>
      </c>
      <c r="G148" s="2">
        <f>IFERROR(__xludf.DUMMYFUNCTION("""COMPUTED_VALUE"""),1000.0)</f>
        <v>1000</v>
      </c>
      <c r="H148" s="2"/>
      <c r="I148" s="2"/>
      <c r="J148" s="2"/>
      <c r="K148" s="2"/>
      <c r="L148" s="2"/>
      <c r="M148" s="2"/>
      <c r="N148" s="2"/>
      <c r="O148" s="2"/>
      <c r="P148" s="2"/>
      <c r="Q148" s="2"/>
      <c r="R148" s="2"/>
      <c r="S148" s="2"/>
      <c r="T148" s="2"/>
      <c r="U148" s="2"/>
      <c r="V148" s="2"/>
      <c r="W148" s="2"/>
      <c r="X148" s="2"/>
      <c r="Y148" s="2"/>
      <c r="Z148" s="2"/>
    </row>
    <row r="149">
      <c r="A149" s="2" t="str">
        <f>IFERROR(__xludf.DUMMYFUNCTION("""COMPUTED_VALUE"""),"Jack's Special Ring")</f>
        <v>Jack's Special Ring</v>
      </c>
      <c r="B149" s="2" t="str">
        <f>IFERROR(__xludf.DUMMYFUNCTION("""COMPUTED_VALUE"""),"Halloween exclusive")</f>
        <v>Halloween exclusive</v>
      </c>
      <c r="C149" s="2"/>
      <c r="D149" s="2" t="str">
        <f>IFERROR(__xludf.DUMMYFUNCTION("""COMPUTED_VALUE"""),"Ring")</f>
        <v>Ring</v>
      </c>
      <c r="E149" s="2">
        <f>IFERROR(__xludf.DUMMYFUNCTION("""COMPUTED_VALUE"""),1.0)</f>
        <v>1</v>
      </c>
      <c r="F149" s="2" t="str">
        <f>IFERROR(__xludf.DUMMYFUNCTION("""COMPUTED_VALUE""")," ++Increase all types of damage by X2. +-Cannot be forged +-Cannot be duplicated")</f>
        <v> ++Increase all types of damage by X2. +-Cannot be forged +-Cannot be duplicated</v>
      </c>
      <c r="G149" s="2">
        <f>IFERROR(__xludf.DUMMYFUNCTION("""COMPUTED_VALUE"""),0.0)</f>
        <v>0</v>
      </c>
      <c r="H149" s="2"/>
      <c r="I149" s="2"/>
      <c r="J149" s="2"/>
      <c r="K149" s="2"/>
      <c r="L149" s="2"/>
      <c r="M149" s="2"/>
      <c r="N149" s="2"/>
      <c r="O149" s="2"/>
      <c r="P149" s="2"/>
      <c r="Q149" s="2"/>
      <c r="R149" s="2"/>
      <c r="S149" s="2"/>
      <c r="T149" s="2"/>
      <c r="U149" s="2"/>
      <c r="V149" s="2"/>
      <c r="W149" s="2"/>
      <c r="X149" s="2"/>
      <c r="Y149" s="2"/>
      <c r="Z149" s="2"/>
    </row>
    <row r="150">
      <c r="A150" s="2" t="str">
        <f>IFERROR(__xludf.DUMMYFUNCTION("""COMPUTED_VALUE"""),"Jack's Special Sword")</f>
        <v>Jack's Special Sword</v>
      </c>
      <c r="B150" s="2" t="str">
        <f>IFERROR(__xludf.DUMMYFUNCTION("""COMPUTED_VALUE"""),"Halloween exclusive")</f>
        <v>Halloween exclusive</v>
      </c>
      <c r="C150" s="2" t="str">
        <f>IFERROR(__xludf.DUMMYFUNCTION("""COMPUTED_VALUE"""),"Sword")</f>
        <v>Sword</v>
      </c>
      <c r="D150" s="2" t="str">
        <f>IFERROR(__xludf.DUMMYFUNCTION("""COMPUTED_VALUE"""),"Hand")</f>
        <v>Hand</v>
      </c>
      <c r="E150" s="2">
        <f>IFERROR(__xludf.DUMMYFUNCTION("""COMPUTED_VALUE"""),60.0)</f>
        <v>60</v>
      </c>
      <c r="F150" s="2" t="str">
        <f>IFERROR(__xludf.DUMMYFUNCTION("""COMPUTED_VALUE"""),"DMG: +1500, Dark DMG: +600, Chaos DMG: +900 ++Vampires Lust II - Any damage dealt by this sword will give you HP and SP equal to the damage dealt. +-Cannot be duplicated")</f>
        <v>DMG: +1500, Dark DMG: +600, Chaos DMG: +900 ++Vampires Lust II - Any damage dealt by this sword will give you HP and SP equal to the damage dealt. +-Cannot be duplicated</v>
      </c>
      <c r="G150" s="2">
        <f>IFERROR(__xludf.DUMMYFUNCTION("""COMPUTED_VALUE"""),150000.0)</f>
        <v>150000</v>
      </c>
      <c r="H150" s="2"/>
      <c r="I150" s="2"/>
      <c r="J150" s="2"/>
      <c r="K150" s="2"/>
      <c r="L150" s="2"/>
      <c r="M150" s="2"/>
      <c r="N150" s="2"/>
      <c r="O150" s="2"/>
      <c r="P150" s="2"/>
      <c r="Q150" s="2"/>
      <c r="R150" s="2"/>
      <c r="S150" s="2"/>
      <c r="T150" s="2"/>
      <c r="U150" s="2"/>
      <c r="V150" s="2"/>
      <c r="W150" s="2"/>
      <c r="X150" s="2"/>
      <c r="Y150" s="2"/>
      <c r="Z150" s="2"/>
    </row>
    <row r="151">
      <c r="A151" s="2" t="str">
        <f>IFERROR(__xludf.DUMMYFUNCTION("""COMPUTED_VALUE"""),"Jack’o Lantern Helmet of Swampy Hallow")</f>
        <v>Jack’o Lantern Helmet of Swampy Hallow</v>
      </c>
      <c r="B151" s="2" t="str">
        <f>IFERROR(__xludf.DUMMYFUNCTION("""COMPUTED_VALUE"""),"Halloween exclusive")</f>
        <v>Halloween exclusive</v>
      </c>
      <c r="C151" s="2"/>
      <c r="D151" s="2" t="str">
        <f>IFERROR(__xludf.DUMMYFUNCTION("""COMPUTED_VALUE"""),"Head")</f>
        <v>Head</v>
      </c>
      <c r="E151" s="2">
        <f>IFERROR(__xludf.DUMMYFUNCTION("""COMPUTED_VALUE"""),600.0)</f>
        <v>600</v>
      </c>
      <c r="F151" s="2" t="str">
        <f>IFERROR(__xludf.DUMMYFUNCTION("""COMPUTED_VALUE"""),"DEF: +5000, Fire DEF: +5000, Dark DEF: +5000, Spirit DEF: +5000, Chaos DEF: +5000, Nature DEF: +5000 ++Allows you to use up to Rank 9 Nature, Fire, Dark, Chaos, and Spirit Spells, ++X2 additional Nature, Fire, Dark, Chaos, and Spirit damage.")</f>
        <v>DEF: +5000, Fire DEF: +5000, Dark DEF: +5000, Spirit DEF: +5000, Chaos DEF: +5000, Nature DEF: +5000 ++Allows you to use up to Rank 9 Nature, Fire, Dark, Chaos, and Spirit Spells, ++X2 additional Nature, Fire, Dark, Chaos, and Spirit damage.</v>
      </c>
      <c r="G151" s="2">
        <f>IFERROR(__xludf.DUMMYFUNCTION("""COMPUTED_VALUE"""),1.77E7)</f>
        <v>17700000</v>
      </c>
      <c r="H151" s="2"/>
      <c r="I151" s="2"/>
      <c r="J151" s="2"/>
      <c r="K151" s="2"/>
      <c r="L151" s="2"/>
      <c r="M151" s="2"/>
      <c r="N151" s="2"/>
      <c r="O151" s="2"/>
      <c r="P151" s="2"/>
      <c r="Q151" s="2"/>
      <c r="R151" s="2"/>
      <c r="S151" s="2"/>
      <c r="T151" s="2"/>
      <c r="U151" s="2"/>
      <c r="V151" s="2"/>
      <c r="W151" s="2"/>
      <c r="X151" s="2"/>
      <c r="Y151" s="2"/>
      <c r="Z151" s="2"/>
    </row>
    <row r="152">
      <c r="A152" s="2" t="str">
        <f>IFERROR(__xludf.DUMMYFUNCTION("""COMPUTED_VALUE"""),"Katana")</f>
        <v>Katana</v>
      </c>
      <c r="B152" s="2"/>
      <c r="C152" s="2" t="str">
        <f>IFERROR(__xludf.DUMMYFUNCTION("""COMPUTED_VALUE"""),"Sword")</f>
        <v>Sword</v>
      </c>
      <c r="D152" s="2" t="str">
        <f>IFERROR(__xludf.DUMMYFUNCTION("""COMPUTED_VALUE"""),"Hand")</f>
        <v>Hand</v>
      </c>
      <c r="E152" s="2">
        <f>IFERROR(__xludf.DUMMYFUNCTION("""COMPUTED_VALUE"""),10.0)</f>
        <v>10</v>
      </c>
      <c r="F152" s="2" t="str">
        <f>IFERROR(__xludf.DUMMYFUNCTION("""COMPUTED_VALUE"""),"DMG: +500 ++ +10% chance of the sword ability activating.")</f>
        <v>DMG: +500 ++ +10% chance of the sword ability activating.</v>
      </c>
      <c r="G152" s="2">
        <f>IFERROR(__xludf.DUMMYFUNCTION("""COMPUTED_VALUE"""),1000.0)</f>
        <v>1000</v>
      </c>
      <c r="H152" s="2"/>
      <c r="I152" s="2"/>
      <c r="J152" s="2"/>
      <c r="K152" s="2"/>
      <c r="L152" s="2"/>
      <c r="M152" s="2"/>
      <c r="N152" s="2"/>
      <c r="O152" s="2"/>
      <c r="P152" s="2"/>
      <c r="Q152" s="2"/>
      <c r="R152" s="2"/>
      <c r="S152" s="2"/>
      <c r="T152" s="2"/>
      <c r="U152" s="2"/>
      <c r="V152" s="2"/>
      <c r="W152" s="2"/>
      <c r="X152" s="2"/>
      <c r="Y152" s="2"/>
      <c r="Z152" s="2"/>
    </row>
    <row r="153">
      <c r="A153" s="2" t="str">
        <f>IFERROR(__xludf.DUMMYFUNCTION("""COMPUTED_VALUE"""),"King Of Mekanas Sword")</f>
        <v>King Of Mekanas Sword</v>
      </c>
      <c r="B153" s="2" t="str">
        <f>IFERROR(__xludf.DUMMYFUNCTION("""COMPUTED_VALUE"""),"Mob Exclusive")</f>
        <v>Mob Exclusive</v>
      </c>
      <c r="C153" s="2" t="str">
        <f>IFERROR(__xludf.DUMMYFUNCTION("""COMPUTED_VALUE"""),"Sword")</f>
        <v>Sword</v>
      </c>
      <c r="D153" s="2" t="str">
        <f>IFERROR(__xludf.DUMMYFUNCTION("""COMPUTED_VALUE"""),"Hand")</f>
        <v>Hand</v>
      </c>
      <c r="E153" s="2">
        <f>IFERROR(__xludf.DUMMYFUNCTION("""COMPUTED_VALUE"""),3000.0)</f>
        <v>3000</v>
      </c>
      <c r="F153" s="2" t="str">
        <f>IFERROR(__xludf.DUMMYFUNCTION("""COMPUTED_VALUE"""),"DMG: +50000, Fire DMG: +50000, Storm DMG: +50000 ++X8 additional Fire and Storm damage. ")</f>
        <v>DMG: +50000, Fire DMG: +50000, Storm DMG: +50000 ++X8 additional Fire and Storm damage. </v>
      </c>
      <c r="G153" s="2">
        <f>IFERROR(__xludf.DUMMYFUNCTION("""COMPUTED_VALUE"""),4.485E8)</f>
        <v>448500000</v>
      </c>
      <c r="H153" s="2"/>
      <c r="I153" s="2"/>
      <c r="J153" s="2"/>
      <c r="K153" s="2"/>
      <c r="L153" s="2"/>
      <c r="M153" s="2"/>
      <c r="N153" s="2"/>
      <c r="O153" s="2"/>
      <c r="P153" s="2"/>
      <c r="Q153" s="2"/>
      <c r="R153" s="2"/>
      <c r="S153" s="2"/>
      <c r="T153" s="2"/>
      <c r="U153" s="2"/>
      <c r="V153" s="2"/>
      <c r="W153" s="2"/>
      <c r="X153" s="2"/>
      <c r="Y153" s="2"/>
      <c r="Z153" s="2"/>
    </row>
    <row r="154">
      <c r="A154" s="2" t="str">
        <f>IFERROR(__xludf.DUMMYFUNCTION("""COMPUTED_VALUE"""),"King's Royal Sword")</f>
        <v>King's Royal Sword</v>
      </c>
      <c r="B154" s="2" t="str">
        <f>IFERROR(__xludf.DUMMYFUNCTION("""COMPUTED_VALUE"""),"Quest Item")</f>
        <v>Quest Item</v>
      </c>
      <c r="C154" s="2" t="str">
        <f>IFERROR(__xludf.DUMMYFUNCTION("""COMPUTED_VALUE"""),"Sword")</f>
        <v>Sword</v>
      </c>
      <c r="D154" s="2" t="str">
        <f>IFERROR(__xludf.DUMMYFUNCTION("""COMPUTED_VALUE"""),"Hand")</f>
        <v>Hand</v>
      </c>
      <c r="E154" s="2">
        <f>IFERROR(__xludf.DUMMYFUNCTION("""COMPUTED_VALUE"""),200.0)</f>
        <v>200</v>
      </c>
      <c r="F154" s="2" t="str">
        <f>IFERROR(__xludf.DUMMYFUNCTION("""COMPUTED_VALUE"""),"DMG: +100000, Celestial DMG: +100000 ++ +5 can be added to your d20 rolls. X12 additional Celestial damage. +-Cannot be duplicated")</f>
        <v>DMG: +100000, Celestial DMG: +100000 ++ +5 can be added to your d20 rolls. X12 additional Celestial damage. +-Cannot be duplicated</v>
      </c>
      <c r="G154" s="2">
        <f>IFERROR(__xludf.DUMMYFUNCTION("""COMPUTED_VALUE"""),7.98E8)</f>
        <v>798000000</v>
      </c>
      <c r="H154" s="2"/>
      <c r="I154" s="2"/>
      <c r="J154" s="2"/>
      <c r="K154" s="2"/>
      <c r="L154" s="2"/>
      <c r="M154" s="2"/>
      <c r="N154" s="2"/>
      <c r="O154" s="2"/>
      <c r="P154" s="2"/>
      <c r="Q154" s="2"/>
      <c r="R154" s="2"/>
      <c r="S154" s="2"/>
      <c r="T154" s="2"/>
      <c r="U154" s="2"/>
      <c r="V154" s="2"/>
      <c r="W154" s="2"/>
      <c r="X154" s="2"/>
      <c r="Y154" s="2"/>
      <c r="Z154" s="2"/>
    </row>
    <row r="155">
      <c r="A155" s="2" t="str">
        <f>IFERROR(__xludf.DUMMYFUNCTION("""COMPUTED_VALUE"""),"Knife")</f>
        <v>Knife</v>
      </c>
      <c r="B155" s="2"/>
      <c r="C155" s="2" t="str">
        <f>IFERROR(__xludf.DUMMYFUNCTION("""COMPUTED_VALUE"""),"Knife")</f>
        <v>Knife</v>
      </c>
      <c r="D155" s="2" t="str">
        <f>IFERROR(__xludf.DUMMYFUNCTION("""COMPUTED_VALUE"""),"Hand")</f>
        <v>Hand</v>
      </c>
      <c r="E155" s="2">
        <f>IFERROR(__xludf.DUMMYFUNCTION("""COMPUTED_VALUE"""),20.0)</f>
        <v>20</v>
      </c>
      <c r="F155" s="2" t="str">
        <f>IFERROR(__xludf.DUMMYFUNCTION("""COMPUTED_VALUE"""),"DMG: +1000")</f>
        <v>DMG: +1000</v>
      </c>
      <c r="G155" s="2">
        <f>IFERROR(__xludf.DUMMYFUNCTION("""COMPUTED_VALUE"""),10000.0)</f>
        <v>10000</v>
      </c>
      <c r="H155" s="2"/>
      <c r="I155" s="2"/>
      <c r="J155" s="2"/>
      <c r="K155" s="2"/>
      <c r="L155" s="2"/>
      <c r="M155" s="2"/>
      <c r="N155" s="2"/>
      <c r="O155" s="2"/>
      <c r="P155" s="2"/>
      <c r="Q155" s="2"/>
      <c r="R155" s="2"/>
      <c r="S155" s="2"/>
      <c r="T155" s="2"/>
      <c r="U155" s="2"/>
      <c r="V155" s="2"/>
      <c r="W155" s="2"/>
      <c r="X155" s="2"/>
      <c r="Y155" s="2"/>
      <c r="Z155" s="2"/>
    </row>
    <row r="156">
      <c r="A156" s="2" t="str">
        <f>IFERROR(__xludf.DUMMYFUNCTION("""COMPUTED_VALUE"""),"Knife of Jinx")</f>
        <v>Knife of Jinx</v>
      </c>
      <c r="B156" s="2"/>
      <c r="C156" s="2" t="str">
        <f>IFERROR(__xludf.DUMMYFUNCTION("""COMPUTED_VALUE"""),"Knife")</f>
        <v>Knife</v>
      </c>
      <c r="D156" s="2" t="str">
        <f>IFERROR(__xludf.DUMMYFUNCTION("""COMPUTED_VALUE"""),"Hand")</f>
        <v>Hand</v>
      </c>
      <c r="E156" s="2">
        <f>IFERROR(__xludf.DUMMYFUNCTION("""COMPUTED_VALUE"""),1.0)</f>
        <v>1</v>
      </c>
      <c r="F156" s="2" t="str">
        <f>IFERROR(__xludf.DUMMYFUNCTION("""COMPUTED_VALUE"""),"DMG: +10 ++ If this weapon is used against a character owned by James, This will instantly kill that character even if they are immune to instant death, otherwise this will deal 10 damage")</f>
        <v>DMG: +10 ++ If this weapon is used against a character owned by James, This will instantly kill that character even if they are immune to instant death, otherwise this will deal 10 damage</v>
      </c>
      <c r="G156" s="2">
        <f>IFERROR(__xludf.DUMMYFUNCTION("""COMPUTED_VALUE"""),0.0)</f>
        <v>0</v>
      </c>
      <c r="H156" s="2"/>
      <c r="I156" s="2"/>
      <c r="J156" s="2"/>
      <c r="K156" s="2"/>
      <c r="L156" s="2"/>
      <c r="M156" s="2"/>
      <c r="N156" s="2"/>
      <c r="O156" s="2"/>
      <c r="P156" s="2"/>
      <c r="Q156" s="2"/>
      <c r="R156" s="2"/>
      <c r="S156" s="2"/>
      <c r="T156" s="2"/>
      <c r="U156" s="2"/>
      <c r="V156" s="2"/>
      <c r="W156" s="2"/>
      <c r="X156" s="2"/>
      <c r="Y156" s="2"/>
      <c r="Z156" s="2"/>
    </row>
    <row r="157">
      <c r="A157" s="2" t="str">
        <f>IFERROR(__xludf.DUMMYFUNCTION("""COMPUTED_VALUE"""),"kraken's power ring")</f>
        <v>kraken's power ring</v>
      </c>
      <c r="B157" s="2"/>
      <c r="C157" s="2"/>
      <c r="D157" s="2" t="str">
        <f>IFERROR(__xludf.DUMMYFUNCTION("""COMPUTED_VALUE"""),"Ring")</f>
        <v>Ring</v>
      </c>
      <c r="E157" s="2">
        <f>IFERROR(__xludf.DUMMYFUNCTION("""COMPUTED_VALUE"""),1.0)</f>
        <v>1</v>
      </c>
      <c r="F157" s="2" t="str">
        <f>IFERROR(__xludf.DUMMYFUNCTION("""COMPUTED_VALUE""")," ++water based attacks double in damage. ++sp cost is halved for water spells only")</f>
        <v> ++water based attacks double in damage. ++sp cost is halved for water spells only</v>
      </c>
      <c r="G157" s="2">
        <f>IFERROR(__xludf.DUMMYFUNCTION("""COMPUTED_VALUE"""),0.0)</f>
        <v>0</v>
      </c>
      <c r="H157" s="2"/>
      <c r="I157" s="2"/>
      <c r="J157" s="2"/>
      <c r="K157" s="2"/>
      <c r="L157" s="2"/>
      <c r="M157" s="2"/>
      <c r="N157" s="2"/>
      <c r="O157" s="2"/>
      <c r="P157" s="2"/>
      <c r="Q157" s="2"/>
      <c r="R157" s="2"/>
      <c r="S157" s="2"/>
      <c r="T157" s="2"/>
      <c r="U157" s="2"/>
      <c r="V157" s="2"/>
      <c r="W157" s="2"/>
      <c r="X157" s="2"/>
      <c r="Y157" s="2"/>
      <c r="Z157" s="2"/>
    </row>
    <row r="158">
      <c r="A158" s="2" t="str">
        <f>IFERROR(__xludf.DUMMYFUNCTION("""COMPUTED_VALUE"""),"Krakens Power Ring")</f>
        <v>Krakens Power Ring</v>
      </c>
      <c r="B158" s="2"/>
      <c r="C158" s="2"/>
      <c r="D158" s="2" t="str">
        <f>IFERROR(__xludf.DUMMYFUNCTION("""COMPUTED_VALUE"""),"Ring")</f>
        <v>Ring</v>
      </c>
      <c r="E158" s="2">
        <f>IFERROR(__xludf.DUMMYFUNCTION("""COMPUTED_VALUE"""),1.0)</f>
        <v>1</v>
      </c>
      <c r="F158" s="2" t="str">
        <f>IFERROR(__xludf.DUMMYFUNCTION("""COMPUTED_VALUE""")," ++water based attacks deal x2 damage, ++sp is halved for water spells only. +-(one use per battle)")</f>
        <v> ++water based attacks deal x2 damage, ++sp is halved for water spells only. +-(one use per battle)</v>
      </c>
      <c r="G158" s="2">
        <f>IFERROR(__xludf.DUMMYFUNCTION("""COMPUTED_VALUE"""),0.0)</f>
        <v>0</v>
      </c>
      <c r="H158" s="2"/>
      <c r="I158" s="2"/>
      <c r="J158" s="2"/>
      <c r="K158" s="2"/>
      <c r="L158" s="2"/>
      <c r="M158" s="2"/>
      <c r="N158" s="2"/>
      <c r="O158" s="2"/>
      <c r="P158" s="2"/>
      <c r="Q158" s="2"/>
      <c r="R158" s="2"/>
      <c r="S158" s="2"/>
      <c r="T158" s="2"/>
      <c r="U158" s="2"/>
      <c r="V158" s="2"/>
      <c r="W158" s="2"/>
      <c r="X158" s="2"/>
      <c r="Y158" s="2"/>
      <c r="Z158" s="2"/>
    </row>
    <row r="159">
      <c r="A159" s="2" t="str">
        <f>IFERROR(__xludf.DUMMYFUNCTION("""COMPUTED_VALUE"""),"Lava Longsword")</f>
        <v>Lava Longsword</v>
      </c>
      <c r="B159" s="2"/>
      <c r="C159" s="2" t="str">
        <f>IFERROR(__xludf.DUMMYFUNCTION("""COMPUTED_VALUE"""),"Sword")</f>
        <v>Sword</v>
      </c>
      <c r="D159" s="2" t="str">
        <f>IFERROR(__xludf.DUMMYFUNCTION("""COMPUTED_VALUE"""),"Hand")</f>
        <v>Hand</v>
      </c>
      <c r="E159" s="2">
        <f>IFERROR(__xludf.DUMMYFUNCTION("""COMPUTED_VALUE"""),800.0)</f>
        <v>800</v>
      </c>
      <c r="F159" s="2" t="str">
        <f>IFERROR(__xludf.DUMMYFUNCTION("""COMPUTED_VALUE"""),"DMG: +20000, Fire DMG: +20000 ++Burn 10,000 for 3 rounds.")</f>
        <v>DMG: +20000, Fire DMG: +20000 ++Burn 10,000 for 3 rounds.</v>
      </c>
      <c r="G159" s="2">
        <f>IFERROR(__xludf.DUMMYFUNCTION("""COMPUTED_VALUE"""),3.16E7)</f>
        <v>31600000</v>
      </c>
      <c r="H159" s="2"/>
      <c r="I159" s="2"/>
      <c r="J159" s="2"/>
      <c r="K159" s="2"/>
      <c r="L159" s="2"/>
      <c r="M159" s="2"/>
      <c r="N159" s="2"/>
      <c r="O159" s="2"/>
      <c r="P159" s="2"/>
      <c r="Q159" s="2"/>
      <c r="R159" s="2"/>
      <c r="S159" s="2"/>
      <c r="T159" s="2"/>
      <c r="U159" s="2"/>
      <c r="V159" s="2"/>
      <c r="W159" s="2"/>
      <c r="X159" s="2"/>
      <c r="Y159" s="2"/>
      <c r="Z159" s="2"/>
    </row>
    <row r="160">
      <c r="A160" s="2" t="str">
        <f>IFERROR(__xludf.DUMMYFUNCTION("""COMPUTED_VALUE"""),"Lazer Infused Sword")</f>
        <v>Lazer Infused Sword</v>
      </c>
      <c r="B160" s="2"/>
      <c r="C160" s="2" t="str">
        <f>IFERROR(__xludf.DUMMYFUNCTION("""COMPUTED_VALUE"""),"Sword")</f>
        <v>Sword</v>
      </c>
      <c r="D160" s="2" t="str">
        <f>IFERROR(__xludf.DUMMYFUNCTION("""COMPUTED_VALUE"""),"Hand")</f>
        <v>Hand</v>
      </c>
      <c r="E160" s="2">
        <f>IFERROR(__xludf.DUMMYFUNCTION("""COMPUTED_VALUE"""),600.0)</f>
        <v>600</v>
      </c>
      <c r="F160" s="2" t="str">
        <f>IFERROR(__xludf.DUMMYFUNCTION("""COMPUTED_VALUE"""),"DMG: +10000, Fire DMG: +10000, Blood DMG: +10000 ++Ignores Defense. +-Cannot be duplicated.")</f>
        <v>DMG: +10000, Fire DMG: +10000, Blood DMG: +10000 ++Ignores Defense. +-Cannot be duplicated.</v>
      </c>
      <c r="G160" s="2">
        <f>IFERROR(__xludf.DUMMYFUNCTION("""COMPUTED_VALUE"""),1.77E7)</f>
        <v>17700000</v>
      </c>
      <c r="H160" s="2"/>
      <c r="I160" s="2"/>
      <c r="J160" s="2"/>
      <c r="K160" s="2"/>
      <c r="L160" s="2"/>
      <c r="M160" s="2"/>
      <c r="N160" s="2"/>
      <c r="O160" s="2"/>
      <c r="P160" s="2"/>
      <c r="Q160" s="2"/>
      <c r="R160" s="2"/>
      <c r="S160" s="2"/>
      <c r="T160" s="2"/>
      <c r="U160" s="2"/>
      <c r="V160" s="2"/>
      <c r="W160" s="2"/>
      <c r="X160" s="2"/>
      <c r="Y160" s="2"/>
      <c r="Z160" s="2"/>
    </row>
    <row r="161">
      <c r="A161" s="2" t="str">
        <f>IFERROR(__xludf.DUMMYFUNCTION("""COMPUTED_VALUE"""),"Legendary Sword of Heatmore")</f>
        <v>Legendary Sword of Heatmore</v>
      </c>
      <c r="B161" s="2"/>
      <c r="C161" s="2" t="str">
        <f>IFERROR(__xludf.DUMMYFUNCTION("""COMPUTED_VALUE"""),"Sword")</f>
        <v>Sword</v>
      </c>
      <c r="D161" s="2" t="str">
        <f>IFERROR(__xludf.DUMMYFUNCTION("""COMPUTED_VALUE"""),"Hand")</f>
        <v>Hand</v>
      </c>
      <c r="E161" s="2">
        <f>IFERROR(__xludf.DUMMYFUNCTION("""COMPUTED_VALUE"""),200.0)</f>
        <v>200</v>
      </c>
      <c r="F161" s="2" t="str">
        <f>IFERROR(__xludf.DUMMYFUNCTION("""COMPUTED_VALUE"""),"DMG: +20000, Fire DMG: +20000, Water DMG: +20000, Celestial DMG: +20000 ++75% chance of instant death. ++X6 additional Fire damage. ++Burn 10,000. +-Cannot be duplicated")</f>
        <v>DMG: +20000, Fire DMG: +20000, Water DMG: +20000, Celestial DMG: +20000 ++75% chance of instant death. ++X6 additional Fire damage. ++Burn 10,000. +-Cannot be duplicated</v>
      </c>
      <c r="G161" s="2">
        <f>IFERROR(__xludf.DUMMYFUNCTION("""COMPUTED_VALUE"""),1.272E8)</f>
        <v>127200000</v>
      </c>
      <c r="H161" s="2"/>
      <c r="I161" s="2"/>
      <c r="J161" s="2"/>
      <c r="K161" s="2"/>
      <c r="L161" s="2"/>
      <c r="M161" s="2"/>
      <c r="N161" s="2"/>
      <c r="O161" s="2"/>
      <c r="P161" s="2"/>
      <c r="Q161" s="2"/>
      <c r="R161" s="2"/>
      <c r="S161" s="2"/>
      <c r="T161" s="2"/>
      <c r="U161" s="2"/>
      <c r="V161" s="2"/>
      <c r="W161" s="2"/>
      <c r="X161" s="2"/>
      <c r="Y161" s="2"/>
      <c r="Z161" s="2"/>
    </row>
    <row r="162">
      <c r="A162" s="2" t="str">
        <f>IFERROR(__xludf.DUMMYFUNCTION("""COMPUTED_VALUE"""),"Legendary Tree Sword")</f>
        <v>Legendary Tree Sword</v>
      </c>
      <c r="B162" s="2"/>
      <c r="C162" s="2" t="str">
        <f>IFERROR(__xludf.DUMMYFUNCTION("""COMPUTED_VALUE"""),"Sword")</f>
        <v>Sword</v>
      </c>
      <c r="D162" s="2" t="str">
        <f>IFERROR(__xludf.DUMMYFUNCTION("""COMPUTED_VALUE"""),"Hand")</f>
        <v>Hand</v>
      </c>
      <c r="E162" s="2">
        <f>IFERROR(__xludf.DUMMYFUNCTION("""COMPUTED_VALUE"""),200.0)</f>
        <v>200</v>
      </c>
      <c r="F162" s="2" t="str">
        <f>IFERROR(__xludf.DUMMYFUNCTION("""COMPUTED_VALUE"""),"DMG: +50000, Nature DMG: +50000, Celestial DMG: +50000 ++X6 Additional Nature damage. ++20% chance of Incorporeal 2. +-Cannot be duplicated.")</f>
        <v>DMG: +50000, Nature DMG: +50000, Celestial DMG: +50000 ++X6 Additional Nature damage. ++20% chance of Incorporeal 2. +-Cannot be duplicated.</v>
      </c>
      <c r="G162" s="2">
        <f>IFERROR(__xludf.DUMMYFUNCTION("""COMPUTED_VALUE"""),4.485E8)</f>
        <v>448500000</v>
      </c>
      <c r="H162" s="2"/>
      <c r="I162" s="2"/>
      <c r="J162" s="2"/>
      <c r="K162" s="2"/>
      <c r="L162" s="2"/>
      <c r="M162" s="2"/>
      <c r="N162" s="2"/>
      <c r="O162" s="2"/>
      <c r="P162" s="2"/>
      <c r="Q162" s="2"/>
      <c r="R162" s="2"/>
      <c r="S162" s="2"/>
      <c r="T162" s="2"/>
      <c r="U162" s="2"/>
      <c r="V162" s="2"/>
      <c r="W162" s="2"/>
      <c r="X162" s="2"/>
      <c r="Y162" s="2"/>
      <c r="Z162" s="2"/>
    </row>
    <row r="163">
      <c r="A163" s="2" t="str">
        <f>IFERROR(__xludf.DUMMYFUNCTION("""COMPUTED_VALUE"""),"Leggings Of Tritonoch")</f>
        <v>Leggings Of Tritonoch</v>
      </c>
      <c r="B163" s="2"/>
      <c r="C163" s="2"/>
      <c r="D163" s="2" t="str">
        <f>IFERROR(__xludf.DUMMYFUNCTION("""COMPUTED_VALUE"""),"Legs")</f>
        <v>Legs</v>
      </c>
      <c r="E163" s="2">
        <f>IFERROR(__xludf.DUMMYFUNCTION("""COMPUTED_VALUE"""),400.0)</f>
        <v>400</v>
      </c>
      <c r="F163" s="2" t="str">
        <f>IFERROR(__xludf.DUMMYFUNCTION("""COMPUTED_VALUE"""),"DEF: +20000 ++Waves of Entitlement - x5 additional Water damage")</f>
        <v>DEF: +20000 ++Waves of Entitlement - x5 additional Water damage</v>
      </c>
      <c r="G163" s="2">
        <f>IFERROR(__xludf.DUMMYFUNCTION("""COMPUTED_VALUE"""),7800000.0)</f>
        <v>7800000</v>
      </c>
      <c r="H163" s="2"/>
      <c r="I163" s="2"/>
      <c r="J163" s="2"/>
      <c r="K163" s="2"/>
      <c r="L163" s="2"/>
      <c r="M163" s="2"/>
      <c r="N163" s="2"/>
      <c r="O163" s="2"/>
      <c r="P163" s="2"/>
      <c r="Q163" s="2"/>
      <c r="R163" s="2"/>
      <c r="S163" s="2"/>
      <c r="T163" s="2"/>
      <c r="U163" s="2"/>
      <c r="V163" s="2"/>
      <c r="W163" s="2"/>
      <c r="X163" s="2"/>
      <c r="Y163" s="2"/>
      <c r="Z163" s="2"/>
    </row>
    <row r="164">
      <c r="A164" s="2" t="str">
        <f>IFERROR(__xludf.DUMMYFUNCTION("""COMPUTED_VALUE"""),"Lightning Lance")</f>
        <v>Lightning Lance</v>
      </c>
      <c r="B164" s="2"/>
      <c r="C164" s="2" t="str">
        <f>IFERROR(__xludf.DUMMYFUNCTION("""COMPUTED_VALUE"""),"Spear")</f>
        <v>Spear</v>
      </c>
      <c r="D164" s="2" t="str">
        <f>IFERROR(__xludf.DUMMYFUNCTION("""COMPUTED_VALUE"""),"Hand")</f>
        <v>Hand</v>
      </c>
      <c r="E164" s="2">
        <f>IFERROR(__xludf.DUMMYFUNCTION("""COMPUTED_VALUE"""),500.0)</f>
        <v>500</v>
      </c>
      <c r="F164" s="2" t="str">
        <f>IFERROR(__xludf.DUMMYFUNCTION("""COMPUTED_VALUE"""),"DMG: +10000, Storm DMG: +15000 ++Stun 2")</f>
        <v>DMG: +10000, Storm DMG: +15000 ++Stun 2</v>
      </c>
      <c r="G164" s="2">
        <f>IFERROR(__xludf.DUMMYFUNCTION("""COMPUTED_VALUE"""),1.225E7)</f>
        <v>12250000</v>
      </c>
      <c r="H164" s="2"/>
      <c r="I164" s="2"/>
      <c r="J164" s="2"/>
      <c r="K164" s="2"/>
      <c r="L164" s="2"/>
      <c r="M164" s="2"/>
      <c r="N164" s="2"/>
      <c r="O164" s="2"/>
      <c r="P164" s="2"/>
      <c r="Q164" s="2"/>
      <c r="R164" s="2"/>
      <c r="S164" s="2"/>
      <c r="T164" s="2"/>
      <c r="U164" s="2"/>
      <c r="V164" s="2"/>
      <c r="W164" s="2"/>
      <c r="X164" s="2"/>
      <c r="Y164" s="2"/>
      <c r="Z164" s="2"/>
    </row>
    <row r="165">
      <c r="A165" s="2" t="str">
        <f>IFERROR(__xludf.DUMMYFUNCTION("""COMPUTED_VALUE"""),"Long Spear")</f>
        <v>Long Spear</v>
      </c>
      <c r="B165" s="2"/>
      <c r="C165" s="2" t="str">
        <f>IFERROR(__xludf.DUMMYFUNCTION("""COMPUTED_VALUE"""),"Spear")</f>
        <v>Spear</v>
      </c>
      <c r="D165" s="2" t="str">
        <f>IFERROR(__xludf.DUMMYFUNCTION("""COMPUTED_VALUE"""),"Hand")</f>
        <v>Hand</v>
      </c>
      <c r="E165" s="2">
        <f>IFERROR(__xludf.DUMMYFUNCTION("""COMPUTED_VALUE"""),10.0)</f>
        <v>10</v>
      </c>
      <c r="F165" s="2" t="str">
        <f>IFERROR(__xludf.DUMMYFUNCTION("""COMPUTED_VALUE"""),"DMG: +500 ++25% chance of instant death. ")</f>
        <v>DMG: +500 ++25% chance of instant death. </v>
      </c>
      <c r="G165" s="2">
        <f>IFERROR(__xludf.DUMMYFUNCTION("""COMPUTED_VALUE"""),1000.0)</f>
        <v>1000</v>
      </c>
      <c r="H165" s="2"/>
      <c r="I165" s="2"/>
      <c r="J165" s="2"/>
      <c r="K165" s="2"/>
      <c r="L165" s="2"/>
      <c r="M165" s="2"/>
      <c r="N165" s="2"/>
      <c r="O165" s="2"/>
      <c r="P165" s="2"/>
      <c r="Q165" s="2"/>
      <c r="R165" s="2"/>
      <c r="S165" s="2"/>
      <c r="T165" s="2"/>
      <c r="U165" s="2"/>
      <c r="V165" s="2"/>
      <c r="W165" s="2"/>
      <c r="X165" s="2"/>
      <c r="Y165" s="2"/>
      <c r="Z165" s="2"/>
    </row>
    <row r="166">
      <c r="A166" s="2" t="str">
        <f>IFERROR(__xludf.DUMMYFUNCTION("""COMPUTED_VALUE"""),"Lord Dreadfuls Sword")</f>
        <v>Lord Dreadfuls Sword</v>
      </c>
      <c r="B166" s="2"/>
      <c r="C166" s="2" t="str">
        <f>IFERROR(__xludf.DUMMYFUNCTION("""COMPUTED_VALUE"""),"Sword")</f>
        <v>Sword</v>
      </c>
      <c r="D166" s="2" t="str">
        <f>IFERROR(__xludf.DUMMYFUNCTION("""COMPUTED_VALUE"""),"Hand")</f>
        <v>Hand</v>
      </c>
      <c r="E166" s="2">
        <f>IFERROR(__xludf.DUMMYFUNCTION("""COMPUTED_VALUE"""),800.0)</f>
        <v>800</v>
      </c>
      <c r="F166" s="2" t="str">
        <f>IFERROR(__xludf.DUMMYFUNCTION("""COMPUTED_VALUE"""),"DMG: +20000, Dark DMG: +10000, Chaos DMG: +10000")</f>
        <v>DMG: +20000, Dark DMG: +10000, Chaos DMG: +10000</v>
      </c>
      <c r="G166" s="2">
        <f>IFERROR(__xludf.DUMMYFUNCTION("""COMPUTED_VALUE"""),3.16E7)</f>
        <v>31600000</v>
      </c>
      <c r="H166" s="2"/>
      <c r="I166" s="2"/>
      <c r="J166" s="2"/>
      <c r="K166" s="2"/>
      <c r="L166" s="2"/>
      <c r="M166" s="2"/>
      <c r="N166" s="2"/>
      <c r="O166" s="2"/>
      <c r="P166" s="2"/>
      <c r="Q166" s="2"/>
      <c r="R166" s="2"/>
      <c r="S166" s="2"/>
      <c r="T166" s="2"/>
      <c r="U166" s="2"/>
      <c r="V166" s="2"/>
      <c r="W166" s="2"/>
      <c r="X166" s="2"/>
      <c r="Y166" s="2"/>
      <c r="Z166" s="2"/>
    </row>
    <row r="167">
      <c r="A167" s="2" t="str">
        <f>IFERROR(__xludf.DUMMYFUNCTION("""COMPUTED_VALUE"""),"Magma Morningstar")</f>
        <v>Magma Morningstar</v>
      </c>
      <c r="B167" s="2"/>
      <c r="C167" s="2" t="str">
        <f>IFERROR(__xludf.DUMMYFUNCTION("""COMPUTED_VALUE"""),"Club")</f>
        <v>Club</v>
      </c>
      <c r="D167" s="2" t="str">
        <f>IFERROR(__xludf.DUMMYFUNCTION("""COMPUTED_VALUE"""),"Hand")</f>
        <v>Hand</v>
      </c>
      <c r="E167" s="2">
        <f>IFERROR(__xludf.DUMMYFUNCTION("""COMPUTED_VALUE"""),20.0)</f>
        <v>20</v>
      </c>
      <c r="F167" s="2" t="str">
        <f>IFERROR(__xludf.DUMMYFUNCTION("""COMPUTED_VALUE"""),"DMG: +500, Fire DMG: +400 ++Will return to you each round when thrown")</f>
        <v>DMG: +500, Fire DMG: +400 ++Will return to you each round when thrown</v>
      </c>
      <c r="G167" s="2">
        <f>IFERROR(__xludf.DUMMYFUNCTION("""COMPUTED_VALUE"""),1000.0)</f>
        <v>1000</v>
      </c>
      <c r="H167" s="2"/>
      <c r="I167" s="2"/>
      <c r="J167" s="2"/>
      <c r="K167" s="2"/>
      <c r="L167" s="2"/>
      <c r="M167" s="2"/>
      <c r="N167" s="2"/>
      <c r="O167" s="2"/>
      <c r="P167" s="2"/>
      <c r="Q167" s="2"/>
      <c r="R167" s="2"/>
      <c r="S167" s="2"/>
      <c r="T167" s="2"/>
      <c r="U167" s="2"/>
      <c r="V167" s="2"/>
      <c r="W167" s="2"/>
      <c r="X167" s="2"/>
      <c r="Y167" s="2"/>
      <c r="Z167" s="2"/>
    </row>
    <row r="168">
      <c r="A168" s="2" t="str">
        <f>IFERROR(__xludf.DUMMYFUNCTION("""COMPUTED_VALUE"""),"Magma Sword")</f>
        <v>Magma Sword</v>
      </c>
      <c r="B168" s="2" t="str">
        <f>IFERROR(__xludf.DUMMYFUNCTION("""COMPUTED_VALUE"""),"A sword that turned Forest View into Ash View.")</f>
        <v>A sword that turned Forest View into Ash View.</v>
      </c>
      <c r="C168" s="2" t="str">
        <f>IFERROR(__xludf.DUMMYFUNCTION("""COMPUTED_VALUE"""),"Sword")</f>
        <v>Sword</v>
      </c>
      <c r="D168" s="2" t="str">
        <f>IFERROR(__xludf.DUMMYFUNCTION("""COMPUTED_VALUE"""),"Hand")</f>
        <v>Hand</v>
      </c>
      <c r="E168" s="2">
        <f>IFERROR(__xludf.DUMMYFUNCTION("""COMPUTED_VALUE"""),200.0)</f>
        <v>200</v>
      </c>
      <c r="F168" s="2" t="str">
        <f>IFERROR(__xludf.DUMMYFUNCTION("""COMPUTED_VALUE"""),"DMG: +50000, Fire DMG: +50000, Celestial DMG: +50000 ++X6 additional Fire damage. ++Burn 20,000 for 3 rounds. +-Cannot be duplicated")</f>
        <v>DMG: +50000, Fire DMG: +50000, Celestial DMG: +50000 ++X6 additional Fire damage. ++Burn 20,000 for 3 rounds. +-Cannot be duplicated</v>
      </c>
      <c r="G168" s="2">
        <f>IFERROR(__xludf.DUMMYFUNCTION("""COMPUTED_VALUE"""),4.485E8)</f>
        <v>448500000</v>
      </c>
      <c r="H168" s="2"/>
      <c r="I168" s="2"/>
      <c r="J168" s="2"/>
      <c r="K168" s="2"/>
      <c r="L168" s="2"/>
      <c r="M168" s="2"/>
      <c r="N168" s="2"/>
      <c r="O168" s="2"/>
      <c r="P168" s="2"/>
      <c r="Q168" s="2"/>
      <c r="R168" s="2"/>
      <c r="S168" s="2"/>
      <c r="T168" s="2"/>
      <c r="U168" s="2"/>
      <c r="V168" s="2"/>
      <c r="W168" s="2"/>
      <c r="X168" s="2"/>
      <c r="Y168" s="2"/>
      <c r="Z168" s="2"/>
    </row>
    <row r="169">
      <c r="A169" s="2" t="str">
        <f>IFERROR(__xludf.DUMMYFUNCTION("""COMPUTED_VALUE"""),"Masking Cloak")</f>
        <v>Masking Cloak</v>
      </c>
      <c r="B169" s="2"/>
      <c r="C169" s="2"/>
      <c r="D169" s="2" t="str">
        <f>IFERROR(__xludf.DUMMYFUNCTION("""COMPUTED_VALUE"""),"Torso")</f>
        <v>Torso</v>
      </c>
      <c r="E169" s="2">
        <f>IFERROR(__xludf.DUMMYFUNCTION("""COMPUTED_VALUE"""),1.0)</f>
        <v>1</v>
      </c>
      <c r="F169" s="2" t="str">
        <f>IFERROR(__xludf.DUMMYFUNCTION("""COMPUTED_VALUE""")," ++5 Evasion +-(Cannot be duplicated)")</f>
        <v> ++5 Evasion +-(Cannot be duplicated)</v>
      </c>
      <c r="G169" s="2">
        <f>IFERROR(__xludf.DUMMYFUNCTION("""COMPUTED_VALUE"""),0.0)</f>
        <v>0</v>
      </c>
      <c r="H169" s="2"/>
      <c r="I169" s="2"/>
      <c r="J169" s="2"/>
      <c r="K169" s="2"/>
      <c r="L169" s="2"/>
      <c r="M169" s="2"/>
      <c r="N169" s="2"/>
      <c r="O169" s="2"/>
      <c r="P169" s="2"/>
      <c r="Q169" s="2"/>
      <c r="R169" s="2"/>
      <c r="S169" s="2"/>
      <c r="T169" s="2"/>
      <c r="U169" s="2"/>
      <c r="V169" s="2"/>
      <c r="W169" s="2"/>
      <c r="X169" s="2"/>
      <c r="Y169" s="2"/>
      <c r="Z169" s="2"/>
    </row>
    <row r="170">
      <c r="A170" s="2" t="str">
        <f>IFERROR(__xludf.DUMMYFUNCTION("""COMPUTED_VALUE"""),"Mini Lucky Fish in a Bottle")</f>
        <v>Mini Lucky Fish in a Bottle</v>
      </c>
      <c r="B170" s="2"/>
      <c r="C170" s="2" t="str">
        <f>IFERROR(__xludf.DUMMYFUNCTION("""COMPUTED_VALUE"""),"Wand")</f>
        <v>Wand</v>
      </c>
      <c r="D170" s="2" t="str">
        <f>IFERROR(__xludf.DUMMYFUNCTION("""COMPUTED_VALUE"""),"Hand")</f>
        <v>Hand</v>
      </c>
      <c r="E170" s="2">
        <f>IFERROR(__xludf.DUMMYFUNCTION("""COMPUTED_VALUE"""),1.0)</f>
        <v>1</v>
      </c>
      <c r="F170" s="2" t="str">
        <f>IFERROR(__xludf.DUMMYFUNCTION("""COMPUTED_VALUE""")," ++Percentage rolls are now increased by 10% for caster that holds this item. +-Can only equip one")</f>
        <v> ++Percentage rolls are now increased by 10% for caster that holds this item. +-Can only equip one</v>
      </c>
      <c r="G170" s="2">
        <f>IFERROR(__xludf.DUMMYFUNCTION("""COMPUTED_VALUE"""),0.0)</f>
        <v>0</v>
      </c>
      <c r="H170" s="2"/>
      <c r="I170" s="2"/>
      <c r="J170" s="2"/>
      <c r="K170" s="2"/>
      <c r="L170" s="2"/>
      <c r="M170" s="2"/>
      <c r="N170" s="2"/>
      <c r="O170" s="2"/>
      <c r="P170" s="2"/>
      <c r="Q170" s="2"/>
      <c r="R170" s="2"/>
      <c r="S170" s="2"/>
      <c r="T170" s="2"/>
      <c r="U170" s="2"/>
      <c r="V170" s="2"/>
      <c r="W170" s="2"/>
      <c r="X170" s="2"/>
      <c r="Y170" s="2"/>
      <c r="Z170" s="2"/>
    </row>
    <row r="171">
      <c r="A171" s="2" t="str">
        <f>IFERROR(__xludf.DUMMYFUNCTION("""COMPUTED_VALUE"""),"Nature Faery Wand")</f>
        <v>Nature Faery Wand</v>
      </c>
      <c r="B171" s="2"/>
      <c r="C171" s="2" t="str">
        <f>IFERROR(__xludf.DUMMYFUNCTION("""COMPUTED_VALUE"""),"Wand")</f>
        <v>Wand</v>
      </c>
      <c r="D171" s="2" t="str">
        <f>IFERROR(__xludf.DUMMYFUNCTION("""COMPUTED_VALUE"""),"Hand")</f>
        <v>Hand</v>
      </c>
      <c r="E171" s="2">
        <f>IFERROR(__xludf.DUMMYFUNCTION("""COMPUTED_VALUE"""),1.0)</f>
        <v>1</v>
      </c>
      <c r="F171" s="2" t="str">
        <f>IFERROR(__xludf.DUMMYFUNCTION("""COMPUTED_VALUE""")," ++half the sp cost of nature spells")</f>
        <v> ++half the sp cost of nature spells</v>
      </c>
      <c r="G171" s="2">
        <f>IFERROR(__xludf.DUMMYFUNCTION("""COMPUTED_VALUE"""),0.0)</f>
        <v>0</v>
      </c>
      <c r="H171" s="2"/>
      <c r="I171" s="2"/>
      <c r="J171" s="2"/>
      <c r="K171" s="2"/>
      <c r="L171" s="2"/>
      <c r="M171" s="2"/>
      <c r="N171" s="2"/>
      <c r="O171" s="2"/>
      <c r="P171" s="2"/>
      <c r="Q171" s="2"/>
      <c r="R171" s="2"/>
      <c r="S171" s="2"/>
      <c r="T171" s="2"/>
      <c r="U171" s="2"/>
      <c r="V171" s="2"/>
      <c r="W171" s="2"/>
      <c r="X171" s="2"/>
      <c r="Y171" s="2"/>
      <c r="Z171" s="2"/>
    </row>
    <row r="172">
      <c r="A172" s="2" t="str">
        <f>IFERROR(__xludf.DUMMYFUNCTION("""COMPUTED_VALUE"""),"Nature's Sword")</f>
        <v>Nature's Sword</v>
      </c>
      <c r="B172" s="2"/>
      <c r="C172" s="2" t="str">
        <f>IFERROR(__xludf.DUMMYFUNCTION("""COMPUTED_VALUE"""),"Sword")</f>
        <v>Sword</v>
      </c>
      <c r="D172" s="2" t="str">
        <f>IFERROR(__xludf.DUMMYFUNCTION("""COMPUTED_VALUE"""),"Hand")</f>
        <v>Hand</v>
      </c>
      <c r="E172" s="2">
        <f>IFERROR(__xludf.DUMMYFUNCTION("""COMPUTED_VALUE"""),40.0)</f>
        <v>40</v>
      </c>
      <c r="F172" s="2" t="str">
        <f>IFERROR(__xludf.DUMMYFUNCTION("""COMPUTED_VALUE"""),"DMG: +800, Nature DMG: +800 ++Upon a successful hit, the next turn you will automatically use the spell Tree Stance.")</f>
        <v>DMG: +800, Nature DMG: +800 ++Upon a successful hit, the next turn you will automatically use the spell Tree Stance.</v>
      </c>
      <c r="G172" s="2">
        <f>IFERROR(__xludf.DUMMYFUNCTION("""COMPUTED_VALUE"""),30000.0)</f>
        <v>30000</v>
      </c>
      <c r="H172" s="2"/>
      <c r="I172" s="2"/>
      <c r="J172" s="2"/>
      <c r="K172" s="2"/>
      <c r="L172" s="2"/>
      <c r="M172" s="2"/>
      <c r="N172" s="2"/>
      <c r="O172" s="2"/>
      <c r="P172" s="2"/>
      <c r="Q172" s="2"/>
      <c r="R172" s="2"/>
      <c r="S172" s="2"/>
      <c r="T172" s="2"/>
      <c r="U172" s="2"/>
      <c r="V172" s="2"/>
      <c r="W172" s="2"/>
      <c r="X172" s="2"/>
      <c r="Y172" s="2"/>
      <c r="Z172" s="2"/>
    </row>
    <row r="173">
      <c r="A173" s="2" t="str">
        <f>IFERROR(__xludf.DUMMYFUNCTION("""COMPUTED_VALUE"""),"Necklace o' Lending")</f>
        <v>Necklace o' Lending</v>
      </c>
      <c r="B173" s="2"/>
      <c r="C173" s="2"/>
      <c r="D173" s="2" t="str">
        <f>IFERROR(__xludf.DUMMYFUNCTION("""COMPUTED_VALUE"""),"Neck")</f>
        <v>Neck</v>
      </c>
      <c r="E173" s="2">
        <f>IFERROR(__xludf.DUMMYFUNCTION("""COMPUTED_VALUE"""),1.0)</f>
        <v>1</v>
      </c>
      <c r="F173" s="2" t="str">
        <f>IFERROR(__xludf.DUMMYFUNCTION("""COMPUTED_VALUE""")," ++Decrease XHP and XSP from your character sheet and add that amount to another target.")</f>
        <v> ++Decrease XHP and XSP from your character sheet and add that amount to another target.</v>
      </c>
      <c r="G173" s="2">
        <f>IFERROR(__xludf.DUMMYFUNCTION("""COMPUTED_VALUE"""),0.0)</f>
        <v>0</v>
      </c>
      <c r="H173" s="2"/>
      <c r="I173" s="2"/>
      <c r="J173" s="2"/>
      <c r="K173" s="2"/>
      <c r="L173" s="2"/>
      <c r="M173" s="2"/>
      <c r="N173" s="2"/>
      <c r="O173" s="2"/>
      <c r="P173" s="2"/>
      <c r="Q173" s="2"/>
      <c r="R173" s="2"/>
      <c r="S173" s="2"/>
      <c r="T173" s="2"/>
      <c r="U173" s="2"/>
      <c r="V173" s="2"/>
      <c r="W173" s="2"/>
      <c r="X173" s="2"/>
      <c r="Y173" s="2"/>
      <c r="Z173" s="2"/>
    </row>
    <row r="174">
      <c r="A174" s="2" t="str">
        <f>IFERROR(__xludf.DUMMYFUNCTION("""COMPUTED_VALUE"""),"Necklace Of Ancient Mountains")</f>
        <v>Necklace Of Ancient Mountains</v>
      </c>
      <c r="B174" s="2"/>
      <c r="C174" s="2"/>
      <c r="D174" s="2" t="str">
        <f>IFERROR(__xludf.DUMMYFUNCTION("""COMPUTED_VALUE"""),"Neck")</f>
        <v>Neck</v>
      </c>
      <c r="E174" s="2">
        <f>IFERROR(__xludf.DUMMYFUNCTION("""COMPUTED_VALUE"""),1.0)</f>
        <v>1</v>
      </c>
      <c r="F174" s="2" t="str">
        <f>IFERROR(__xludf.DUMMYFUNCTION("""COMPUTED_VALUE""")," ++Forged items now deal double in damage for the wearer, ++Forging rolls cannot fail, +-Cannot be forged +-Cannot be duplicated")</f>
        <v> ++Forged items now deal double in damage for the wearer, ++Forging rolls cannot fail, +-Cannot be forged +-Cannot be duplicated</v>
      </c>
      <c r="G174" s="2">
        <f>IFERROR(__xludf.DUMMYFUNCTION("""COMPUTED_VALUE"""),0.0)</f>
        <v>0</v>
      </c>
      <c r="H174" s="2"/>
      <c r="I174" s="2"/>
      <c r="J174" s="2"/>
      <c r="K174" s="2"/>
      <c r="L174" s="2"/>
      <c r="M174" s="2"/>
      <c r="N174" s="2"/>
      <c r="O174" s="2"/>
      <c r="P174" s="2"/>
      <c r="Q174" s="2"/>
      <c r="R174" s="2"/>
      <c r="S174" s="2"/>
      <c r="T174" s="2"/>
      <c r="U174" s="2"/>
      <c r="V174" s="2"/>
      <c r="W174" s="2"/>
      <c r="X174" s="2"/>
      <c r="Y174" s="2"/>
      <c r="Z174" s="2"/>
    </row>
    <row r="175">
      <c r="A175" s="2" t="str">
        <f>IFERROR(__xludf.DUMMYFUNCTION("""COMPUTED_VALUE"""),"Necklace Of Heatmore")</f>
        <v>Necklace Of Heatmore</v>
      </c>
      <c r="B175" s="2"/>
      <c r="C175" s="2"/>
      <c r="D175" s="2" t="str">
        <f>IFERROR(__xludf.DUMMYFUNCTION("""COMPUTED_VALUE"""),"Neck")</f>
        <v>Neck</v>
      </c>
      <c r="E175" s="2">
        <f>IFERROR(__xludf.DUMMYFUNCTION("""COMPUTED_VALUE"""),1.0)</f>
        <v>1</v>
      </c>
      <c r="F175" s="2" t="str">
        <f>IFERROR(__xludf.DUMMYFUNCTION("""COMPUTED_VALUE""")," ++ +2 is added to your d20 roll.")</f>
        <v> ++ +2 is added to your d20 roll.</v>
      </c>
      <c r="G175" s="2">
        <f>IFERROR(__xludf.DUMMYFUNCTION("""COMPUTED_VALUE"""),0.0)</f>
        <v>0</v>
      </c>
      <c r="H175" s="2"/>
      <c r="I175" s="2"/>
      <c r="J175" s="2"/>
      <c r="K175" s="2"/>
      <c r="L175" s="2"/>
      <c r="M175" s="2"/>
      <c r="N175" s="2"/>
      <c r="O175" s="2"/>
      <c r="P175" s="2"/>
      <c r="Q175" s="2"/>
      <c r="R175" s="2"/>
      <c r="S175" s="2"/>
      <c r="T175" s="2"/>
      <c r="U175" s="2"/>
      <c r="V175" s="2"/>
      <c r="W175" s="2"/>
      <c r="X175" s="2"/>
      <c r="Y175" s="2"/>
      <c r="Z175" s="2"/>
    </row>
    <row r="176">
      <c r="A176" s="2" t="str">
        <f>IFERROR(__xludf.DUMMYFUNCTION("""COMPUTED_VALUE"""),"Necklace of Shards")</f>
        <v>Necklace of Shards</v>
      </c>
      <c r="B176" s="2"/>
      <c r="C176" s="2"/>
      <c r="D176" s="2" t="str">
        <f>IFERROR(__xludf.DUMMYFUNCTION("""COMPUTED_VALUE"""),"Neck")</f>
        <v>Neck</v>
      </c>
      <c r="E176" s="2">
        <f>IFERROR(__xludf.DUMMYFUNCTION("""COMPUTED_VALUE"""),1.0)</f>
        <v>1</v>
      </c>
      <c r="F176" s="2" t="str">
        <f>IFERROR(__xludf.DUMMYFUNCTION("""COMPUTED_VALUE""")," ++X6 Chaos and Dark Damage. +-Cannot be duplicated.")</f>
        <v> ++X6 Chaos and Dark Damage. +-Cannot be duplicated.</v>
      </c>
      <c r="G176" s="2">
        <f>IFERROR(__xludf.DUMMYFUNCTION("""COMPUTED_VALUE"""),0.0)</f>
        <v>0</v>
      </c>
      <c r="H176" s="2"/>
      <c r="I176" s="2"/>
      <c r="J176" s="2"/>
      <c r="K176" s="2"/>
      <c r="L176" s="2"/>
      <c r="M176" s="2"/>
      <c r="N176" s="2"/>
      <c r="O176" s="2"/>
      <c r="P176" s="2"/>
      <c r="Q176" s="2"/>
      <c r="R176" s="2"/>
      <c r="S176" s="2"/>
      <c r="T176" s="2"/>
      <c r="U176" s="2"/>
      <c r="V176" s="2"/>
      <c r="W176" s="2"/>
      <c r="X176" s="2"/>
      <c r="Y176" s="2"/>
      <c r="Z176" s="2"/>
    </row>
    <row r="177">
      <c r="A177" s="2" t="str">
        <f>IFERROR(__xludf.DUMMYFUNCTION("""COMPUTED_VALUE"""),"Necklace of The Lost Soul")</f>
        <v>Necklace of The Lost Soul</v>
      </c>
      <c r="B177" s="2"/>
      <c r="C177" s="2"/>
      <c r="D177" s="2" t="str">
        <f>IFERROR(__xludf.DUMMYFUNCTION("""COMPUTED_VALUE"""),"Neck")</f>
        <v>Neck</v>
      </c>
      <c r="E177" s="2">
        <f>IFERROR(__xludf.DUMMYFUNCTION("""COMPUTED_VALUE"""),1.0)</f>
        <v>1</v>
      </c>
      <c r="F177" s="2" t="str">
        <f>IFERROR(__xludf.DUMMYFUNCTION("""COMPUTED_VALUE"""),"DEF: +100 ++X2 Spirit Damage, ++Soul Enhanced II - Each soul you put into this item will increase its base defense by 100 up to 200,000.")</f>
        <v>DEF: +100 ++X2 Spirit Damage, ++Soul Enhanced II - Each soul you put into this item will increase its base defense by 100 up to 200,000.</v>
      </c>
      <c r="G177" s="2">
        <f>IFERROR(__xludf.DUMMYFUNCTION("""COMPUTED_VALUE"""),0.0)</f>
        <v>0</v>
      </c>
      <c r="H177" s="2"/>
      <c r="I177" s="2"/>
      <c r="J177" s="2"/>
      <c r="K177" s="2"/>
      <c r="L177" s="2"/>
      <c r="M177" s="2"/>
      <c r="N177" s="2"/>
      <c r="O177" s="2"/>
      <c r="P177" s="2"/>
      <c r="Q177" s="2"/>
      <c r="R177" s="2"/>
      <c r="S177" s="2"/>
      <c r="T177" s="2"/>
      <c r="U177" s="2"/>
      <c r="V177" s="2"/>
      <c r="W177" s="2"/>
      <c r="X177" s="2"/>
      <c r="Y177" s="2"/>
      <c r="Z177" s="2"/>
    </row>
    <row r="178">
      <c r="A178" s="2" t="str">
        <f>IFERROR(__xludf.DUMMYFUNCTION("""COMPUTED_VALUE"""),"Necklace of the Pumpkin")</f>
        <v>Necklace of the Pumpkin</v>
      </c>
      <c r="B178" s="2"/>
      <c r="C178" s="2"/>
      <c r="D178" s="2" t="str">
        <f>IFERROR(__xludf.DUMMYFUNCTION("""COMPUTED_VALUE"""),"Neck")</f>
        <v>Neck</v>
      </c>
      <c r="E178" s="2">
        <f>IFERROR(__xludf.DUMMYFUNCTION("""COMPUTED_VALUE"""),1.0)</f>
        <v>1</v>
      </c>
      <c r="F178" s="2" t="str">
        <f>IFERROR(__xludf.DUMMYFUNCTION("""COMPUTED_VALUE""")," ++Gives Immunity to Fire, Dark, and Nature damage")</f>
        <v> ++Gives Immunity to Fire, Dark, and Nature damage</v>
      </c>
      <c r="G178" s="2">
        <f>IFERROR(__xludf.DUMMYFUNCTION("""COMPUTED_VALUE"""),0.0)</f>
        <v>0</v>
      </c>
      <c r="H178" s="2"/>
      <c r="I178" s="2"/>
      <c r="J178" s="2"/>
      <c r="K178" s="2"/>
      <c r="L178" s="2"/>
      <c r="M178" s="2"/>
      <c r="N178" s="2"/>
      <c r="O178" s="2"/>
      <c r="P178" s="2"/>
      <c r="Q178" s="2"/>
      <c r="R178" s="2"/>
      <c r="S178" s="2"/>
      <c r="T178" s="2"/>
      <c r="U178" s="2"/>
      <c r="V178" s="2"/>
      <c r="W178" s="2"/>
      <c r="X178" s="2"/>
      <c r="Y178" s="2"/>
      <c r="Z178" s="2"/>
    </row>
    <row r="179">
      <c r="A179" s="2" t="str">
        <f>IFERROR(__xludf.DUMMYFUNCTION("""COMPUTED_VALUE"""),"Necklace Of Tritonoch")</f>
        <v>Necklace Of Tritonoch</v>
      </c>
      <c r="B179" s="2"/>
      <c r="C179" s="2"/>
      <c r="D179" s="2" t="str">
        <f>IFERROR(__xludf.DUMMYFUNCTION("""COMPUTED_VALUE"""),"Neck")</f>
        <v>Neck</v>
      </c>
      <c r="E179" s="2">
        <f>IFERROR(__xludf.DUMMYFUNCTION("""COMPUTED_VALUE"""),1.0)</f>
        <v>1</v>
      </c>
      <c r="F179" s="2" t="str">
        <f>IFERROR(__xludf.DUMMYFUNCTION("""COMPUTED_VALUE""")," ++Any water attack dealt by the wearer has a 50% chance to freeze the targets it hits, ++Waves of Entitlement - x5 additional Water damage")</f>
        <v> ++Any water attack dealt by the wearer has a 50% chance to freeze the targets it hits, ++Waves of Entitlement - x5 additional Water damage</v>
      </c>
      <c r="G179" s="2">
        <f>IFERROR(__xludf.DUMMYFUNCTION("""COMPUTED_VALUE"""),0.0)</f>
        <v>0</v>
      </c>
      <c r="H179" s="2"/>
      <c r="I179" s="2"/>
      <c r="J179" s="2"/>
      <c r="K179" s="2"/>
      <c r="L179" s="2"/>
      <c r="M179" s="2"/>
      <c r="N179" s="2"/>
      <c r="O179" s="2"/>
      <c r="P179" s="2"/>
      <c r="Q179" s="2"/>
      <c r="R179" s="2"/>
      <c r="S179" s="2"/>
      <c r="T179" s="2"/>
      <c r="U179" s="2"/>
      <c r="V179" s="2"/>
      <c r="W179" s="2"/>
      <c r="X179" s="2"/>
      <c r="Y179" s="2"/>
      <c r="Z179" s="2"/>
    </row>
    <row r="180">
      <c r="A180" s="2" t="str">
        <f>IFERROR(__xludf.DUMMYFUNCTION("""COMPUTED_VALUE"""),"Necklace of Waking Waters")</f>
        <v>Necklace of Waking Waters</v>
      </c>
      <c r="B180" s="2"/>
      <c r="C180" s="2"/>
      <c r="D180" s="2" t="str">
        <f>IFERROR(__xludf.DUMMYFUNCTION("""COMPUTED_VALUE"""),"Neck")</f>
        <v>Neck</v>
      </c>
      <c r="E180" s="2">
        <f>IFERROR(__xludf.DUMMYFUNCTION("""COMPUTED_VALUE"""),1.0)</f>
        <v>1</v>
      </c>
      <c r="F180" s="2" t="str">
        <f>IFERROR(__xludf.DUMMYFUNCTION("""COMPUTED_VALUE""")," ++Immunity to sleep. ++X4 Water damage.")</f>
        <v> ++Immunity to sleep. ++X4 Water damage.</v>
      </c>
      <c r="G180" s="2">
        <f>IFERROR(__xludf.DUMMYFUNCTION("""COMPUTED_VALUE"""),0.0)</f>
        <v>0</v>
      </c>
      <c r="H180" s="2"/>
      <c r="I180" s="2"/>
      <c r="J180" s="2"/>
      <c r="K180" s="2"/>
      <c r="L180" s="2"/>
      <c r="M180" s="2"/>
      <c r="N180" s="2"/>
      <c r="O180" s="2"/>
      <c r="P180" s="2"/>
      <c r="Q180" s="2"/>
      <c r="R180" s="2"/>
      <c r="S180" s="2"/>
      <c r="T180" s="2"/>
      <c r="U180" s="2"/>
      <c r="V180" s="2"/>
      <c r="W180" s="2"/>
      <c r="X180" s="2"/>
      <c r="Y180" s="2"/>
      <c r="Z180" s="2"/>
    </row>
    <row r="181">
      <c r="A181" s="2" t="str">
        <f>IFERROR(__xludf.DUMMYFUNCTION("""COMPUTED_VALUE"""),"Necklace of Water Breathing")</f>
        <v>Necklace of Water Breathing</v>
      </c>
      <c r="B181" s="2"/>
      <c r="C181" s="2"/>
      <c r="D181" s="2" t="str">
        <f>IFERROR(__xludf.DUMMYFUNCTION("""COMPUTED_VALUE"""),"Neck")</f>
        <v>Neck</v>
      </c>
      <c r="E181" s="2">
        <f>IFERROR(__xludf.DUMMYFUNCTION("""COMPUTED_VALUE"""),1.0)</f>
        <v>1</v>
      </c>
      <c r="F181" s="2" t="str">
        <f>IFERROR(__xludf.DUMMYFUNCTION("""COMPUTED_VALUE""")," ++Allows you to breath underwater.")</f>
        <v> ++Allows you to breath underwater.</v>
      </c>
      <c r="G181" s="2">
        <f>IFERROR(__xludf.DUMMYFUNCTION("""COMPUTED_VALUE"""),0.0)</f>
        <v>0</v>
      </c>
      <c r="H181" s="2"/>
      <c r="I181" s="2"/>
      <c r="J181" s="2"/>
      <c r="K181" s="2"/>
      <c r="L181" s="2"/>
      <c r="M181" s="2"/>
      <c r="N181" s="2"/>
      <c r="O181" s="2"/>
      <c r="P181" s="2"/>
      <c r="Q181" s="2"/>
      <c r="R181" s="2"/>
      <c r="S181" s="2"/>
      <c r="T181" s="2"/>
      <c r="U181" s="2"/>
      <c r="V181" s="2"/>
      <c r="W181" s="2"/>
      <c r="X181" s="2"/>
      <c r="Y181" s="2"/>
      <c r="Z181" s="2"/>
    </row>
    <row r="182">
      <c r="A182" s="2" t="str">
        <f>IFERROR(__xludf.DUMMYFUNCTION("""COMPUTED_VALUE"""),"Obsidian Chestplate")</f>
        <v>Obsidian Chestplate</v>
      </c>
      <c r="B182" s="2" t="str">
        <f>IFERROR(__xludf.DUMMYFUNCTION("""COMPUTED_VALUE"""),"Quest Item")</f>
        <v>Quest Item</v>
      </c>
      <c r="C182" s="2"/>
      <c r="D182" s="2" t="str">
        <f>IFERROR(__xludf.DUMMYFUNCTION("""COMPUTED_VALUE"""),"Torso")</f>
        <v>Torso</v>
      </c>
      <c r="E182" s="2">
        <f>IFERROR(__xludf.DUMMYFUNCTION("""COMPUTED_VALUE"""),4000.0)</f>
        <v>4000</v>
      </c>
      <c r="F182" s="2" t="str">
        <f>IFERROR(__xludf.DUMMYFUNCTION("""COMPUTED_VALUE"""),"DEF: +100000, Fire DEF: +100000 ++Fire Immunity. +-Cannot be duplicated.")</f>
        <v>DEF: +100000, Fire DEF: +100000 ++Fire Immunity. +-Cannot be duplicated.</v>
      </c>
      <c r="G182" s="2">
        <f>IFERROR(__xludf.DUMMYFUNCTION("""COMPUTED_VALUE"""),7.98E8)</f>
        <v>798000000</v>
      </c>
      <c r="H182" s="2"/>
      <c r="I182" s="2"/>
      <c r="J182" s="2"/>
      <c r="K182" s="2"/>
      <c r="L182" s="2"/>
      <c r="M182" s="2"/>
      <c r="N182" s="2"/>
      <c r="O182" s="2"/>
      <c r="P182" s="2"/>
      <c r="Q182" s="2"/>
      <c r="R182" s="2"/>
      <c r="S182" s="2"/>
      <c r="T182" s="2"/>
      <c r="U182" s="2"/>
      <c r="V182" s="2"/>
      <c r="W182" s="2"/>
      <c r="X182" s="2"/>
      <c r="Y182" s="2"/>
      <c r="Z182" s="2"/>
    </row>
    <row r="183">
      <c r="A183" s="2" t="str">
        <f>IFERROR(__xludf.DUMMYFUNCTION("""COMPUTED_VALUE"""),"Ancient Oni Mask")</f>
        <v>Ancient Oni Mask</v>
      </c>
      <c r="B183" s="2" t="str">
        <f>IFERROR(__xludf.DUMMYFUNCTION("""COMPUTED_VALUE"""),"An ancient relic to Zhenmay")</f>
        <v>An ancient relic to Zhenmay</v>
      </c>
      <c r="C183" s="2"/>
      <c r="D183" s="2" t="str">
        <f>IFERROR(__xludf.DUMMYFUNCTION("""COMPUTED_VALUE"""),"Head")</f>
        <v>Head</v>
      </c>
      <c r="E183" s="2">
        <f>IFERROR(__xludf.DUMMYFUNCTION("""COMPUTED_VALUE"""),200.0)</f>
        <v>200</v>
      </c>
      <c r="F183" s="2"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damage for all elements. +-Only Samurai's, Monks, and Ninjas can equip. +-Cannot be forged +-Cannot be duplicated")</f>
        <v>DEF: +10000, Fire DEF: +10000, Physical DEF: +10000, Water DEF: +10000, Storm DEF: +10000, Earth DEF: +10000, Light DEF: +10000, Dark DEF: +10000, Spirit DEF: +10000, Order DEF: +10000, Chaos DEF: +10000, Nature DEF: +10000, Voodoo DEF: +10000, Blood DEF: +10000, Astral DEF: +10000, Celestial DEF: +10000 ++X2 damage for all elements. +-Only Samurai's, Monks, and Ninjas can equip. +-Cannot be forged +-Cannot be duplicated</v>
      </c>
      <c r="G183" s="2">
        <f>IFERROR(__xludf.DUMMYFUNCTION("""COMPUTED_VALUE"""),5.104E8)</f>
        <v>510400000</v>
      </c>
      <c r="H183" s="2"/>
      <c r="I183" s="2"/>
      <c r="J183" s="2"/>
      <c r="K183" s="2"/>
      <c r="L183" s="2"/>
      <c r="M183" s="2"/>
      <c r="N183" s="2"/>
      <c r="O183" s="2"/>
      <c r="P183" s="2"/>
      <c r="Q183" s="2"/>
      <c r="R183" s="2"/>
      <c r="S183" s="2"/>
      <c r="T183" s="2"/>
      <c r="U183" s="2"/>
      <c r="V183" s="2"/>
      <c r="W183" s="2"/>
      <c r="X183" s="2"/>
      <c r="Y183" s="2"/>
      <c r="Z183" s="2"/>
    </row>
    <row r="184">
      <c r="A184" s="2" t="str">
        <f>IFERROR(__xludf.DUMMYFUNCTION("""COMPUTED_VALUE"""),"Pauldrons of Waking Waters")</f>
        <v>Pauldrons of Waking Waters</v>
      </c>
      <c r="B184" s="2"/>
      <c r="C184" s="2"/>
      <c r="D184" s="2" t="str">
        <f>IFERROR(__xludf.DUMMYFUNCTION("""COMPUTED_VALUE"""),"Shoulders")</f>
        <v>Shoulders</v>
      </c>
      <c r="E184" s="2">
        <f>IFERROR(__xludf.DUMMYFUNCTION("""COMPUTED_VALUE"""),200.0)</f>
        <v>200</v>
      </c>
      <c r="F184" s="2" t="str">
        <f>IFERROR(__xludf.DUMMYFUNCTION("""COMPUTED_VALUE"""),"DEF: +5000, Water DEF: +5000 ++X4 additional water damage for self.")</f>
        <v>DEF: +5000, Water DEF: +5000 ++X4 additional water damage for self.</v>
      </c>
      <c r="G184" s="2">
        <f>IFERROR(__xludf.DUMMYFUNCTION("""COMPUTED_VALUE"""),1900000.0)</f>
        <v>1900000</v>
      </c>
      <c r="H184" s="2"/>
      <c r="I184" s="2"/>
      <c r="J184" s="2"/>
      <c r="K184" s="2"/>
      <c r="L184" s="2"/>
      <c r="M184" s="2"/>
      <c r="N184" s="2"/>
      <c r="O184" s="2"/>
      <c r="P184" s="2"/>
      <c r="Q184" s="2"/>
      <c r="R184" s="2"/>
      <c r="S184" s="2"/>
      <c r="T184" s="2"/>
      <c r="U184" s="2"/>
      <c r="V184" s="2"/>
      <c r="W184" s="2"/>
      <c r="X184" s="2"/>
      <c r="Y184" s="2"/>
      <c r="Z184" s="2"/>
    </row>
    <row r="185">
      <c r="A185" s="2" t="str">
        <f>IFERROR(__xludf.DUMMYFUNCTION("""COMPUTED_VALUE"""),"Pendent of the Sea Serpent")</f>
        <v>Pendent of the Sea Serpent</v>
      </c>
      <c r="B185" s="2"/>
      <c r="C185" s="2"/>
      <c r="D185" s="2" t="str">
        <f>IFERROR(__xludf.DUMMYFUNCTION("""COMPUTED_VALUE"""),"Neck")</f>
        <v>Neck</v>
      </c>
      <c r="E185" s="2">
        <f>IFERROR(__xludf.DUMMYFUNCTION("""COMPUTED_VALUE"""),1.0)</f>
        <v>1</v>
      </c>
      <c r="F185" s="2" t="str">
        <f>IFERROR(__xludf.DUMMYFUNCTION("""COMPUTED_VALUE""")," ++X2 Water Resistance.")</f>
        <v> ++X2 Water Resistance.</v>
      </c>
      <c r="G185" s="2">
        <f>IFERROR(__xludf.DUMMYFUNCTION("""COMPUTED_VALUE"""),0.0)</f>
        <v>0</v>
      </c>
      <c r="H185" s="2"/>
      <c r="I185" s="2"/>
      <c r="J185" s="2"/>
      <c r="K185" s="2"/>
      <c r="L185" s="2"/>
      <c r="M185" s="2"/>
      <c r="N185" s="2"/>
      <c r="O185" s="2"/>
      <c r="P185" s="2"/>
      <c r="Q185" s="2"/>
      <c r="R185" s="2"/>
      <c r="S185" s="2"/>
      <c r="T185" s="2"/>
      <c r="U185" s="2"/>
      <c r="V185" s="2"/>
      <c r="W185" s="2"/>
      <c r="X185" s="2"/>
      <c r="Y185" s="2"/>
      <c r="Z185" s="2"/>
    </row>
    <row r="186">
      <c r="A186" s="2" t="str">
        <f>IFERROR(__xludf.DUMMYFUNCTION("""COMPUTED_VALUE"""),"Pendent of Confusion")</f>
        <v>Pendent of Confusion</v>
      </c>
      <c r="B186" s="2"/>
      <c r="C186" s="2"/>
      <c r="D186" s="2" t="str">
        <f>IFERROR(__xludf.DUMMYFUNCTION("""COMPUTED_VALUE"""),"Neck")</f>
        <v>Neck</v>
      </c>
      <c r="E186" s="2">
        <f>IFERROR(__xludf.DUMMYFUNCTION("""COMPUTED_VALUE"""),1.0)</f>
        <v>1</v>
      </c>
      <c r="F186" s="2" t="str">
        <f>IFERROR(__xludf.DUMMYFUNCTION("""COMPUTED_VALUE""")," ++At the beginning of battle choose a target and choose two numbers between 1-40 whenever the target rolls the numbers you chose while they are attacking they attack themself (1 use per battle)")</f>
        <v> ++At the beginning of battle choose a target and choose two numbers between 1-40 whenever the target rolls the numbers you chose while they are attacking they attack themself (1 use per battle)</v>
      </c>
      <c r="G186" s="2">
        <f>IFERROR(__xludf.DUMMYFUNCTION("""COMPUTED_VALUE"""),0.0)</f>
        <v>0</v>
      </c>
      <c r="H186" s="2"/>
      <c r="I186" s="2"/>
      <c r="J186" s="2"/>
      <c r="K186" s="2"/>
      <c r="L186" s="2"/>
      <c r="M186" s="2"/>
      <c r="N186" s="2"/>
      <c r="O186" s="2"/>
      <c r="P186" s="2"/>
      <c r="Q186" s="2"/>
      <c r="R186" s="2"/>
      <c r="S186" s="2"/>
      <c r="T186" s="2"/>
      <c r="U186" s="2"/>
      <c r="V186" s="2"/>
      <c r="W186" s="2"/>
      <c r="X186" s="2"/>
      <c r="Y186" s="2"/>
      <c r="Z186" s="2"/>
    </row>
    <row r="187">
      <c r="A187" s="2" t="str">
        <f>IFERROR(__xludf.DUMMYFUNCTION("""COMPUTED_VALUE"""),"Pendent of Luck")</f>
        <v>Pendent of Luck</v>
      </c>
      <c r="B187" s="2"/>
      <c r="C187" s="2"/>
      <c r="D187" s="2" t="str">
        <f>IFERROR(__xludf.DUMMYFUNCTION("""COMPUTED_VALUE"""),"Neck")</f>
        <v>Neck</v>
      </c>
      <c r="E187" s="2">
        <f>IFERROR(__xludf.DUMMYFUNCTION("""COMPUTED_VALUE"""),1.0)</f>
        <v>1</v>
      </c>
      <c r="F187" s="2" t="str">
        <f>IFERROR(__xludf.DUMMYFUNCTION("""COMPUTED_VALUE""")," ++Plus 100 to each base Stat.")</f>
        <v> ++Plus 100 to each base Stat.</v>
      </c>
      <c r="G187" s="2">
        <f>IFERROR(__xludf.DUMMYFUNCTION("""COMPUTED_VALUE"""),0.0)</f>
        <v>0</v>
      </c>
      <c r="H187" s="2"/>
      <c r="I187" s="2"/>
      <c r="J187" s="2"/>
      <c r="K187" s="2"/>
      <c r="L187" s="2"/>
      <c r="M187" s="2"/>
      <c r="N187" s="2"/>
      <c r="O187" s="2"/>
      <c r="P187" s="2"/>
      <c r="Q187" s="2"/>
      <c r="R187" s="2"/>
      <c r="S187" s="2"/>
      <c r="T187" s="2"/>
      <c r="U187" s="2"/>
      <c r="V187" s="2"/>
      <c r="W187" s="2"/>
      <c r="X187" s="2"/>
      <c r="Y187" s="2"/>
      <c r="Z187" s="2"/>
    </row>
    <row r="188">
      <c r="A188" s="2" t="str">
        <f>IFERROR(__xludf.DUMMYFUNCTION("""COMPUTED_VALUE"""),"Pillow of Dreams")</f>
        <v>Pillow of Dreams</v>
      </c>
      <c r="B188" s="2"/>
      <c r="C188" s="2" t="str">
        <f>IFERROR(__xludf.DUMMYFUNCTION("""COMPUTED_VALUE"""),"Towershield")</f>
        <v>Towershield</v>
      </c>
      <c r="D188" s="2" t="str">
        <f>IFERROR(__xludf.DUMMYFUNCTION("""COMPUTED_VALUE"""),"Hand")</f>
        <v>Hand</v>
      </c>
      <c r="E188" s="2">
        <f>IFERROR(__xludf.DUMMYFUNCTION("""COMPUTED_VALUE"""),200.0)</f>
        <v>200</v>
      </c>
      <c r="F188" s="2" t="str">
        <f>IFERROR(__xludf.DUMMYFUNCTION("""COMPUTED_VALUE"""),"DEF: +100000, Astral DEF: +100000, Celestial DEF: +50000 ++When you sleep in a INN your dreams become reality. Roll a d20 to see what your dreams awaken. This item must be equipped for the effect to be applied. Can only be used once before each journey. M"&amp;"ust have lower then half your max hp, sp, hunger, thirst, or energy to use.")</f>
        <v>DEF: +100000, Astral DEF: +100000, Celestial DEF: +50000 ++When you sleep in a INN your dreams become reality. Roll a d20 to see what your dreams awaken. This item must be equipped for the effect to be applied. Can only be used once before each journey. Must have lower then half your max hp, sp, hunger, thirst, or energy to use.</v>
      </c>
      <c r="G188" s="2">
        <f>IFERROR(__xludf.DUMMYFUNCTION("""COMPUTED_VALUE"""),1.2475E9)</f>
        <v>1247500000</v>
      </c>
      <c r="H188" s="2"/>
      <c r="I188" s="2"/>
      <c r="J188" s="2"/>
      <c r="K188" s="2"/>
      <c r="L188" s="2"/>
      <c r="M188" s="2"/>
      <c r="N188" s="2"/>
      <c r="O188" s="2"/>
      <c r="P188" s="2"/>
      <c r="Q188" s="2"/>
      <c r="R188" s="2"/>
      <c r="S188" s="2"/>
      <c r="T188" s="2"/>
      <c r="U188" s="2"/>
      <c r="V188" s="2"/>
      <c r="W188" s="2"/>
      <c r="X188" s="2"/>
      <c r="Y188" s="2"/>
      <c r="Z188" s="2"/>
    </row>
    <row r="189">
      <c r="A189" s="2" t="str">
        <f>IFERROR(__xludf.DUMMYFUNCTION("""COMPUTED_VALUE"""),"Poison Vine Sword")</f>
        <v>Poison Vine Sword</v>
      </c>
      <c r="B189" s="2"/>
      <c r="C189" s="2" t="str">
        <f>IFERROR(__xludf.DUMMYFUNCTION("""COMPUTED_VALUE"""),"Sword")</f>
        <v>Sword</v>
      </c>
      <c r="D189" s="2" t="str">
        <f>IFERROR(__xludf.DUMMYFUNCTION("""COMPUTED_VALUE"""),"Hand")</f>
        <v>Hand</v>
      </c>
      <c r="E189" s="2">
        <f>IFERROR(__xludf.DUMMYFUNCTION("""COMPUTED_VALUE"""),2000.0)</f>
        <v>2000</v>
      </c>
      <c r="F189" s="2" t="str">
        <f>IFERROR(__xludf.DUMMYFUNCTION("""COMPUTED_VALUE"""),"DMG: +50000, Nature DMG: +50000 ++Poison 25,000")</f>
        <v>DMG: +50000, Nature DMG: +50000 ++Poison 25,000</v>
      </c>
      <c r="G189" s="2">
        <f>IFERROR(__xludf.DUMMYFUNCTION("""COMPUTED_VALUE"""),1.99E8)</f>
        <v>199000000</v>
      </c>
      <c r="H189" s="2"/>
      <c r="I189" s="2"/>
      <c r="J189" s="2"/>
      <c r="K189" s="2"/>
      <c r="L189" s="2"/>
      <c r="M189" s="2"/>
      <c r="N189" s="2"/>
      <c r="O189" s="2"/>
      <c r="P189" s="2"/>
      <c r="Q189" s="2"/>
      <c r="R189" s="2"/>
      <c r="S189" s="2"/>
      <c r="T189" s="2"/>
      <c r="U189" s="2"/>
      <c r="V189" s="2"/>
      <c r="W189" s="2"/>
      <c r="X189" s="2"/>
      <c r="Y189" s="2"/>
      <c r="Z189" s="2"/>
    </row>
    <row r="190">
      <c r="A190" s="2" t="str">
        <f>IFERROR(__xludf.DUMMYFUNCTION("""COMPUTED_VALUE"""),"Poseidon's Boots")</f>
        <v>Poseidon's Boots</v>
      </c>
      <c r="B190" s="2"/>
      <c r="C190" s="2"/>
      <c r="D190" s="2" t="str">
        <f>IFERROR(__xludf.DUMMYFUNCTION("""COMPUTED_VALUE"""),"Feet")</f>
        <v>Feet</v>
      </c>
      <c r="E190" s="2">
        <f>IFERROR(__xludf.DUMMYFUNCTION("""COMPUTED_VALUE"""),400.0)</f>
        <v>400</v>
      </c>
      <c r="F190" s="2" t="str">
        <f>IFERROR(__xludf.DUMMYFUNCTION("""COMPUTED_VALUE"""),"DEF: +10000, Water DEF: +10000 ++X8 additional water damage for self.")</f>
        <v>DEF: +10000, Water DEF: +10000 ++X8 additional water damage for self.</v>
      </c>
      <c r="G190" s="2">
        <f>IFERROR(__xludf.DUMMYFUNCTION("""COMPUTED_VALUE"""),7800000.0)</f>
        <v>7800000</v>
      </c>
      <c r="H190" s="2"/>
      <c r="I190" s="2"/>
      <c r="J190" s="2"/>
      <c r="K190" s="2"/>
      <c r="L190" s="2"/>
      <c r="M190" s="2"/>
      <c r="N190" s="2"/>
      <c r="O190" s="2"/>
      <c r="P190" s="2"/>
      <c r="Q190" s="2"/>
      <c r="R190" s="2"/>
      <c r="S190" s="2"/>
      <c r="T190" s="2"/>
      <c r="U190" s="2"/>
      <c r="V190" s="2"/>
      <c r="W190" s="2"/>
      <c r="X190" s="2"/>
      <c r="Y190" s="2"/>
      <c r="Z190" s="2"/>
    </row>
    <row r="191">
      <c r="A191" s="2" t="str">
        <f>IFERROR(__xludf.DUMMYFUNCTION("""COMPUTED_VALUE"""),"Poseidon's Chestplate")</f>
        <v>Poseidon's Chestplate</v>
      </c>
      <c r="B191" s="2"/>
      <c r="C191" s="2"/>
      <c r="D191" s="2" t="str">
        <f>IFERROR(__xludf.DUMMYFUNCTION("""COMPUTED_VALUE"""),"Torso")</f>
        <v>Torso</v>
      </c>
      <c r="E191" s="2">
        <f>IFERROR(__xludf.DUMMYFUNCTION("""COMPUTED_VALUE"""),800.0)</f>
        <v>800</v>
      </c>
      <c r="F191" s="2" t="str">
        <f>IFERROR(__xludf.DUMMYFUNCTION("""COMPUTED_VALUE"""),"DEF: +20000, Water DEF: +20000 ++X8 additional water damage for self. ++X10 additional water resistance and Natural Defense for self and allies if you have all Poseidon Equipment Equipped.")</f>
        <v>DEF: +20000, Water DEF: +20000 ++X8 additional water damage for self. ++X10 additional water resistance and Natural Defense for self and allies if you have all Poseidon Equipment Equipped.</v>
      </c>
      <c r="G191" s="2">
        <f>IFERROR(__xludf.DUMMYFUNCTION("""COMPUTED_VALUE"""),3.16E7)</f>
        <v>31600000</v>
      </c>
      <c r="H191" s="2"/>
      <c r="I191" s="2"/>
      <c r="J191" s="2"/>
      <c r="K191" s="2"/>
      <c r="L191" s="2"/>
      <c r="M191" s="2"/>
      <c r="N191" s="2"/>
      <c r="O191" s="2"/>
      <c r="P191" s="2"/>
      <c r="Q191" s="2"/>
      <c r="R191" s="2"/>
      <c r="S191" s="2"/>
      <c r="T191" s="2"/>
      <c r="U191" s="2"/>
      <c r="V191" s="2"/>
      <c r="W191" s="2"/>
      <c r="X191" s="2"/>
      <c r="Y191" s="2"/>
      <c r="Z191" s="2"/>
    </row>
    <row r="192">
      <c r="A192" s="2" t="str">
        <f>IFERROR(__xludf.DUMMYFUNCTION("""COMPUTED_VALUE"""),"Poseidon's Greaves")</f>
        <v>Poseidon's Greaves</v>
      </c>
      <c r="B192" s="2"/>
      <c r="C192" s="2"/>
      <c r="D192" s="2" t="str">
        <f>IFERROR(__xludf.DUMMYFUNCTION("""COMPUTED_VALUE"""),"Legs")</f>
        <v>Legs</v>
      </c>
      <c r="E192" s="2">
        <f>IFERROR(__xludf.DUMMYFUNCTION("""COMPUTED_VALUE"""),400.0)</f>
        <v>400</v>
      </c>
      <c r="F192" s="2" t="str">
        <f>IFERROR(__xludf.DUMMYFUNCTION("""COMPUTED_VALUE"""),"DEF: +10000, Water DEF: +10000 ++X8 additional water damage for self.")</f>
        <v>DEF: +10000, Water DEF: +10000 ++X8 additional water damage for self.</v>
      </c>
      <c r="G192" s="2">
        <f>IFERROR(__xludf.DUMMYFUNCTION("""COMPUTED_VALUE"""),7800000.0)</f>
        <v>7800000</v>
      </c>
      <c r="H192" s="2"/>
      <c r="I192" s="2"/>
      <c r="J192" s="2"/>
      <c r="K192" s="2"/>
      <c r="L192" s="2"/>
      <c r="M192" s="2"/>
      <c r="N192" s="2"/>
      <c r="O192" s="2"/>
      <c r="P192" s="2"/>
      <c r="Q192" s="2"/>
      <c r="R192" s="2"/>
      <c r="S192" s="2"/>
      <c r="T192" s="2"/>
      <c r="U192" s="2"/>
      <c r="V192" s="2"/>
      <c r="W192" s="2"/>
      <c r="X192" s="2"/>
      <c r="Y192" s="2"/>
      <c r="Z192" s="2"/>
    </row>
    <row r="193">
      <c r="A193" s="2" t="str">
        <f>IFERROR(__xludf.DUMMYFUNCTION("""COMPUTED_VALUE"""),"Poseidon's Helmet")</f>
        <v>Poseidon's Helmet</v>
      </c>
      <c r="B193" s="2"/>
      <c r="C193" s="2"/>
      <c r="D193" s="2" t="str">
        <f>IFERROR(__xludf.DUMMYFUNCTION("""COMPUTED_VALUE"""),"Head")</f>
        <v>Head</v>
      </c>
      <c r="E193" s="2">
        <f>IFERROR(__xludf.DUMMYFUNCTION("""COMPUTED_VALUE"""),400.0)</f>
        <v>400</v>
      </c>
      <c r="F193" s="2" t="str">
        <f>IFERROR(__xludf.DUMMYFUNCTION("""COMPUTED_VALUE"""),"DEF: +10000, Water DEF: +10000 ++X8 additional water damage for self.")</f>
        <v>DEF: +10000, Water DEF: +10000 ++X8 additional water damage for self.</v>
      </c>
      <c r="G193" s="2">
        <f>IFERROR(__xludf.DUMMYFUNCTION("""COMPUTED_VALUE"""),7800000.0)</f>
        <v>7800000</v>
      </c>
      <c r="H193" s="2"/>
      <c r="I193" s="2"/>
      <c r="J193" s="2"/>
      <c r="K193" s="2"/>
      <c r="L193" s="2"/>
      <c r="M193" s="2"/>
      <c r="N193" s="2"/>
      <c r="O193" s="2"/>
      <c r="P193" s="2"/>
      <c r="Q193" s="2"/>
      <c r="R193" s="2"/>
      <c r="S193" s="2"/>
      <c r="T193" s="2"/>
      <c r="U193" s="2"/>
      <c r="V193" s="2"/>
      <c r="W193" s="2"/>
      <c r="X193" s="2"/>
      <c r="Y193" s="2"/>
      <c r="Z193" s="2"/>
    </row>
    <row r="194">
      <c r="A194" s="2" t="str">
        <f>IFERROR(__xludf.DUMMYFUNCTION("""COMPUTED_VALUE"""),"Poseidon's Pauldrons")</f>
        <v>Poseidon's Pauldrons</v>
      </c>
      <c r="B194" s="2"/>
      <c r="C194" s="2"/>
      <c r="D194" s="2" t="str">
        <f>IFERROR(__xludf.DUMMYFUNCTION("""COMPUTED_VALUE"""),"Shoulders")</f>
        <v>Shoulders</v>
      </c>
      <c r="E194" s="2">
        <f>IFERROR(__xludf.DUMMYFUNCTION("""COMPUTED_VALUE"""),400.0)</f>
        <v>400</v>
      </c>
      <c r="F194" s="2" t="str">
        <f>IFERROR(__xludf.DUMMYFUNCTION("""COMPUTED_VALUE"""),"DEF: +10000, Water DEF: +10000 ++X8 additional water damage for self.")</f>
        <v>DEF: +10000, Water DEF: +10000 ++X8 additional water damage for self.</v>
      </c>
      <c r="G194" s="2">
        <f>IFERROR(__xludf.DUMMYFUNCTION("""COMPUTED_VALUE"""),7800000.0)</f>
        <v>7800000</v>
      </c>
      <c r="H194" s="2"/>
      <c r="I194" s="2"/>
      <c r="J194" s="2"/>
      <c r="K194" s="2"/>
      <c r="L194" s="2"/>
      <c r="M194" s="2"/>
      <c r="N194" s="2"/>
      <c r="O194" s="2"/>
      <c r="P194" s="2"/>
      <c r="Q194" s="2"/>
      <c r="R194" s="2"/>
      <c r="S194" s="2"/>
      <c r="T194" s="2"/>
      <c r="U194" s="2"/>
      <c r="V194" s="2"/>
      <c r="W194" s="2"/>
      <c r="X194" s="2"/>
      <c r="Y194" s="2"/>
      <c r="Z194" s="2"/>
    </row>
    <row r="195">
      <c r="A195" s="2" t="str">
        <f>IFERROR(__xludf.DUMMYFUNCTION("""COMPUTED_VALUE"""),"Poseidon's Ring")</f>
        <v>Poseidon's Ring</v>
      </c>
      <c r="B195" s="2"/>
      <c r="C195" s="2"/>
      <c r="D195" s="2" t="str">
        <f>IFERROR(__xludf.DUMMYFUNCTION("""COMPUTED_VALUE"""),"Ring")</f>
        <v>Ring</v>
      </c>
      <c r="E195" s="2">
        <f>IFERROR(__xludf.DUMMYFUNCTION("""COMPUTED_VALUE"""),20.0)</f>
        <v>20</v>
      </c>
      <c r="F195" s="2" t="str">
        <f>IFERROR(__xludf.DUMMYFUNCTION("""COMPUTED_VALUE"""),"DEF: +1000 ++X8 additional water damage for self. ")</f>
        <v>DEF: +1000 ++X8 additional water damage for self. </v>
      </c>
      <c r="G195" s="2">
        <f>IFERROR(__xludf.DUMMYFUNCTION("""COMPUTED_VALUE"""),10000.0)</f>
        <v>10000</v>
      </c>
      <c r="H195" s="2"/>
      <c r="I195" s="2"/>
      <c r="J195" s="2"/>
      <c r="K195" s="2"/>
      <c r="L195" s="2"/>
      <c r="M195" s="2"/>
      <c r="N195" s="2"/>
      <c r="O195" s="2"/>
      <c r="P195" s="2"/>
      <c r="Q195" s="2"/>
      <c r="R195" s="2"/>
      <c r="S195" s="2"/>
      <c r="T195" s="2"/>
      <c r="U195" s="2"/>
      <c r="V195" s="2"/>
      <c r="W195" s="2"/>
      <c r="X195" s="2"/>
      <c r="Y195" s="2"/>
      <c r="Z195" s="2"/>
    </row>
    <row r="196">
      <c r="A196" s="2" t="str">
        <f>IFERROR(__xludf.DUMMYFUNCTION("""COMPUTED_VALUE"""),"Poseidon's Sword")</f>
        <v>Poseidon's Sword</v>
      </c>
      <c r="B196" s="2"/>
      <c r="C196" s="2" t="str">
        <f>IFERROR(__xludf.DUMMYFUNCTION("""COMPUTED_VALUE"""),"Sword")</f>
        <v>Sword</v>
      </c>
      <c r="D196" s="2" t="str">
        <f>IFERROR(__xludf.DUMMYFUNCTION("""COMPUTED_VALUE"""),"Hand")</f>
        <v>Hand</v>
      </c>
      <c r="E196" s="2">
        <f>IFERROR(__xludf.DUMMYFUNCTION("""COMPUTED_VALUE"""),200.0)</f>
        <v>200</v>
      </c>
      <c r="F196" s="2" t="str">
        <f>IFERROR(__xludf.DUMMYFUNCTION("""COMPUTED_VALUE"""),"DMG: +40000, Water DMG: +40000, Celestial DMG: +20000 ++X10 additional water damage for self. ++X12 additional water damage and Natural Defense for self and allies if you have all Poseidon Equipment Equipped. +-Cannot be forged +-Cannot be duplicated")</f>
        <v>DMG: +40000, Water DMG: +40000, Celestial DMG: +20000 ++X10 additional water damage for self. ++X12 additional water damage and Natural Defense for self and allies if you have all Poseidon Equipment Equipped. +-Cannot be forged +-Cannot be duplicated</v>
      </c>
      <c r="G196" s="2">
        <f>IFERROR(__xludf.DUMMYFUNCTION("""COMPUTED_VALUE"""),1.99E8)</f>
        <v>199000000</v>
      </c>
      <c r="H196" s="2"/>
      <c r="I196" s="2"/>
      <c r="J196" s="2"/>
      <c r="K196" s="2"/>
      <c r="L196" s="2"/>
      <c r="M196" s="2"/>
      <c r="N196" s="2"/>
      <c r="O196" s="2"/>
      <c r="P196" s="2"/>
      <c r="Q196" s="2"/>
      <c r="R196" s="2"/>
      <c r="S196" s="2"/>
      <c r="T196" s="2"/>
      <c r="U196" s="2"/>
      <c r="V196" s="2"/>
      <c r="W196" s="2"/>
      <c r="X196" s="2"/>
      <c r="Y196" s="2"/>
      <c r="Z196" s="2"/>
    </row>
    <row r="197">
      <c r="A197" s="2" t="str">
        <f>IFERROR(__xludf.DUMMYFUNCTION("""COMPUTED_VALUE"""),"Poseidon's Trident")</f>
        <v>Poseidon's Trident</v>
      </c>
      <c r="B197" s="2"/>
      <c r="C197" s="2" t="str">
        <f>IFERROR(__xludf.DUMMYFUNCTION("""COMPUTED_VALUE"""),"Spear")</f>
        <v>Spear</v>
      </c>
      <c r="D197" s="2" t="str">
        <f>IFERROR(__xludf.DUMMYFUNCTION("""COMPUTED_VALUE"""),"Hand")</f>
        <v>Hand</v>
      </c>
      <c r="E197" s="2">
        <f>IFERROR(__xludf.DUMMYFUNCTION("""COMPUTED_VALUE"""),200.0)</f>
        <v>200</v>
      </c>
      <c r="F197" s="2" t="str">
        <f>IFERROR(__xludf.DUMMYFUNCTION("""COMPUTED_VALUE"""),"DMG: +50000, Water DMG: +50000, Celestial DMG: +25000 ++The user is Immune to the first attack of each battle, Ignores Defense and Water Immunity when attacking a target. +-Cannot be forged +-Cannot be duplicated")</f>
        <v>DMG: +50000, Water DMG: +50000, Celestial DMG: +25000 ++The user is Immune to the first attack of each battle, Ignores Defense and Water Immunity when attacking a target. +-Cannot be forged +-Cannot be duplicated</v>
      </c>
      <c r="G197" s="2">
        <f>IFERROR(__xludf.DUMMYFUNCTION("""COMPUTED_VALUE"""),3.1125E8)</f>
        <v>311250000</v>
      </c>
      <c r="H197" s="2"/>
      <c r="I197" s="2"/>
      <c r="J197" s="2"/>
      <c r="K197" s="2"/>
      <c r="L197" s="2"/>
      <c r="M197" s="2"/>
      <c r="N197" s="2"/>
      <c r="O197" s="2"/>
      <c r="P197" s="2"/>
      <c r="Q197" s="2"/>
      <c r="R197" s="2"/>
      <c r="S197" s="2"/>
      <c r="T197" s="2"/>
      <c r="U197" s="2"/>
      <c r="V197" s="2"/>
      <c r="W197" s="2"/>
      <c r="X197" s="2"/>
      <c r="Y197" s="2"/>
      <c r="Z197" s="2"/>
    </row>
    <row r="198">
      <c r="A198" s="2" t="str">
        <f>IFERROR(__xludf.DUMMYFUNCTION("""COMPUTED_VALUE"""),"Poseidon's Vambraces")</f>
        <v>Poseidon's Vambraces</v>
      </c>
      <c r="B198" s="2"/>
      <c r="C198" s="2"/>
      <c r="D198" s="2" t="str">
        <f>IFERROR(__xludf.DUMMYFUNCTION("""COMPUTED_VALUE"""),"Arms")</f>
        <v>Arms</v>
      </c>
      <c r="E198" s="2">
        <f>IFERROR(__xludf.DUMMYFUNCTION("""COMPUTED_VALUE"""),400.0)</f>
        <v>400</v>
      </c>
      <c r="F198" s="2" t="str">
        <f>IFERROR(__xludf.DUMMYFUNCTION("""COMPUTED_VALUE"""),"DEF: +10000, Water DEF: +10000 ++X8 additional water damage for self.")</f>
        <v>DEF: +10000, Water DEF: +10000 ++X8 additional water damage for self.</v>
      </c>
      <c r="G198" s="2">
        <f>IFERROR(__xludf.DUMMYFUNCTION("""COMPUTED_VALUE"""),7800000.0)</f>
        <v>7800000</v>
      </c>
      <c r="H198" s="2"/>
      <c r="I198" s="2"/>
      <c r="J198" s="2"/>
      <c r="K198" s="2"/>
      <c r="L198" s="2"/>
      <c r="M198" s="2"/>
      <c r="N198" s="2"/>
      <c r="O198" s="2"/>
      <c r="P198" s="2"/>
      <c r="Q198" s="2"/>
      <c r="R198" s="2"/>
      <c r="S198" s="2"/>
      <c r="T198" s="2"/>
      <c r="U198" s="2"/>
      <c r="V198" s="2"/>
      <c r="W198" s="2"/>
      <c r="X198" s="2"/>
      <c r="Y198" s="2"/>
      <c r="Z198" s="2"/>
    </row>
    <row r="199">
      <c r="A199" s="2" t="str">
        <f>IFERROR(__xludf.DUMMYFUNCTION("""COMPUTED_VALUE"""),"Riftblade")</f>
        <v>Riftblade</v>
      </c>
      <c r="B199" s="2" t="str">
        <f>IFERROR(__xludf.DUMMYFUNCTION("""COMPUTED_VALUE"""),"An ancient blade from a forgotten time")</f>
        <v>An ancient blade from a forgotten time</v>
      </c>
      <c r="C199" s="2" t="str">
        <f>IFERROR(__xludf.DUMMYFUNCTION("""COMPUTED_VALUE"""),"Sword")</f>
        <v>Sword</v>
      </c>
      <c r="D199" s="2" t="str">
        <f>IFERROR(__xludf.DUMMYFUNCTION("""COMPUTED_VALUE"""),"Hand")</f>
        <v>Hand</v>
      </c>
      <c r="E199" s="2">
        <f>IFERROR(__xludf.DUMMYFUNCTION("""COMPUTED_VALUE"""),600.0)</f>
        <v>600</v>
      </c>
      <c r="F199" s="2" t="str">
        <f>IFERROR(__xludf.DUMMYFUNCTION("""COMPUTED_VALUE"""),"DMG: +10000, Chaos DMG: +10000, Nature DMG: +10000")</f>
        <v>DMG: +10000, Chaos DMG: +10000, Nature DMG: +10000</v>
      </c>
      <c r="G199" s="2">
        <f>IFERROR(__xludf.DUMMYFUNCTION("""COMPUTED_VALUE"""),1.77E7)</f>
        <v>17700000</v>
      </c>
      <c r="H199" s="2"/>
      <c r="I199" s="2"/>
      <c r="J199" s="2"/>
      <c r="K199" s="2"/>
      <c r="L199" s="2"/>
      <c r="M199" s="2"/>
      <c r="N199" s="2"/>
      <c r="O199" s="2"/>
      <c r="P199" s="2"/>
      <c r="Q199" s="2"/>
      <c r="R199" s="2"/>
      <c r="S199" s="2"/>
      <c r="T199" s="2"/>
      <c r="U199" s="2"/>
      <c r="V199" s="2"/>
      <c r="W199" s="2"/>
      <c r="X199" s="2"/>
      <c r="Y199" s="2"/>
      <c r="Z199" s="2"/>
    </row>
    <row r="200">
      <c r="A200" s="2" t="str">
        <f>IFERROR(__xludf.DUMMYFUNCTION("""COMPUTED_VALUE"""),"Ring o’ Luck and Nature")</f>
        <v>Ring o’ Luck and Nature</v>
      </c>
      <c r="B200" s="2"/>
      <c r="C200" s="2"/>
      <c r="D200" s="2" t="str">
        <f>IFERROR(__xludf.DUMMYFUNCTION("""COMPUTED_VALUE"""),"Ring")</f>
        <v>Ring</v>
      </c>
      <c r="E200" s="2">
        <f>IFERROR(__xludf.DUMMYFUNCTION("""COMPUTED_VALUE"""),1.0)</f>
        <v>1</v>
      </c>
      <c r="F200" s="2" t="str">
        <f>IFERROR(__xludf.DUMMYFUNCTION("""COMPUTED_VALUE""")," ++Immunity to nature damage, ++increases the roll of a d20 by 2. +-Can only equip one")</f>
        <v> ++Immunity to nature damage, ++increases the roll of a d20 by 2. +-Can only equip one</v>
      </c>
      <c r="G200" s="2">
        <f>IFERROR(__xludf.DUMMYFUNCTION("""COMPUTED_VALUE"""),0.0)</f>
        <v>0</v>
      </c>
      <c r="H200" s="2"/>
      <c r="I200" s="2"/>
      <c r="J200" s="2"/>
      <c r="K200" s="2"/>
      <c r="L200" s="2"/>
      <c r="M200" s="2"/>
      <c r="N200" s="2"/>
      <c r="O200" s="2"/>
      <c r="P200" s="2"/>
      <c r="Q200" s="2"/>
      <c r="R200" s="2"/>
      <c r="S200" s="2"/>
      <c r="T200" s="2"/>
      <c r="U200" s="2"/>
      <c r="V200" s="2"/>
      <c r="W200" s="2"/>
      <c r="X200" s="2"/>
      <c r="Y200" s="2"/>
      <c r="Z200" s="2"/>
    </row>
    <row r="201">
      <c r="A201" s="2" t="str">
        <f>IFERROR(__xludf.DUMMYFUNCTION("""COMPUTED_VALUE"""),"Ring of Darkness")</f>
        <v>Ring of Darkness</v>
      </c>
      <c r="B201" s="2"/>
      <c r="C201" s="2"/>
      <c r="D201" s="2" t="str">
        <f>IFERROR(__xludf.DUMMYFUNCTION("""COMPUTED_VALUE"""),"Ring")</f>
        <v>Ring</v>
      </c>
      <c r="E201" s="2">
        <f>IFERROR(__xludf.DUMMYFUNCTION("""COMPUTED_VALUE"""),1.0)</f>
        <v>1</v>
      </c>
      <c r="F201" s="2" t="str">
        <f>IFERROR(__xludf.DUMMYFUNCTION("""COMPUTED_VALUE""")," ++Shadow Cloud - Cloaks you in a cloud darkness - causes all enemies to miss you with any attack, including cannot avoid attacks for the rest of the round, Fail/Succeed, -200 sp.")</f>
        <v> ++Shadow Cloud - Cloaks you in a cloud darkness - causes all enemies to miss you with any attack, including cannot avoid attacks for the rest of the round, Fail/Succeed, -200 sp.</v>
      </c>
      <c r="G201" s="2">
        <f>IFERROR(__xludf.DUMMYFUNCTION("""COMPUTED_VALUE"""),0.0)</f>
        <v>0</v>
      </c>
      <c r="H201" s="2"/>
      <c r="I201" s="2"/>
      <c r="J201" s="2"/>
      <c r="K201" s="2"/>
      <c r="L201" s="2"/>
      <c r="M201" s="2"/>
      <c r="N201" s="2"/>
      <c r="O201" s="2"/>
      <c r="P201" s="2"/>
      <c r="Q201" s="2"/>
      <c r="R201" s="2"/>
      <c r="S201" s="2"/>
      <c r="T201" s="2"/>
      <c r="U201" s="2"/>
      <c r="V201" s="2"/>
      <c r="W201" s="2"/>
      <c r="X201" s="2"/>
      <c r="Y201" s="2"/>
      <c r="Z201" s="2"/>
    </row>
    <row r="202">
      <c r="A202" s="2" t="str">
        <f>IFERROR(__xludf.DUMMYFUNCTION("""COMPUTED_VALUE"""),"Ring of Death")</f>
        <v>Ring of Death</v>
      </c>
      <c r="B202" s="2"/>
      <c r="C202" s="2"/>
      <c r="D202" s="2" t="str">
        <f>IFERROR(__xludf.DUMMYFUNCTION("""COMPUTED_VALUE"""),"Ring")</f>
        <v>Ring</v>
      </c>
      <c r="E202" s="2">
        <f>IFERROR(__xludf.DUMMYFUNCTION("""COMPUTED_VALUE"""),1.0)</f>
        <v>1</v>
      </c>
      <c r="F202" s="2" t="str">
        <f>IFERROR(__xludf.DUMMYFUNCTION("""COMPUTED_VALUE""")," ++Causes instant death with a fail/succeed roll.")</f>
        <v> ++Causes instant death with a fail/succeed roll.</v>
      </c>
      <c r="G202" s="2">
        <f>IFERROR(__xludf.DUMMYFUNCTION("""COMPUTED_VALUE"""),0.0)</f>
        <v>0</v>
      </c>
      <c r="H202" s="2"/>
      <c r="I202" s="2"/>
      <c r="J202" s="2"/>
      <c r="K202" s="2"/>
      <c r="L202" s="2"/>
      <c r="M202" s="2"/>
      <c r="N202" s="2"/>
      <c r="O202" s="2"/>
      <c r="P202" s="2"/>
      <c r="Q202" s="2"/>
      <c r="R202" s="2"/>
      <c r="S202" s="2"/>
      <c r="T202" s="2"/>
      <c r="U202" s="2"/>
      <c r="V202" s="2"/>
      <c r="W202" s="2"/>
      <c r="X202" s="2"/>
      <c r="Y202" s="2"/>
      <c r="Z202" s="2"/>
    </row>
    <row r="203">
      <c r="A203" s="2" t="str">
        <f>IFERROR(__xludf.DUMMYFUNCTION("""COMPUTED_VALUE"""),"Ring Of Dwelling Waters")</f>
        <v>Ring Of Dwelling Waters</v>
      </c>
      <c r="B203" s="2"/>
      <c r="C203" s="2"/>
      <c r="D203" s="2" t="str">
        <f>IFERROR(__xludf.DUMMYFUNCTION("""COMPUTED_VALUE"""),"Ring")</f>
        <v>Ring</v>
      </c>
      <c r="E203" s="2">
        <f>IFERROR(__xludf.DUMMYFUNCTION("""COMPUTED_VALUE"""),1.0)</f>
        <v>1</v>
      </c>
      <c r="F203" s="2" t="str">
        <f>IFERROR(__xludf.DUMMYFUNCTION("""COMPUTED_VALUE"""),", Fire : +  ++X2 Water and Dark damage.")</f>
        <v>, Fire : +  ++X2 Water and Dark damage.</v>
      </c>
      <c r="G203" s="2">
        <f>IFERROR(__xludf.DUMMYFUNCTION("""COMPUTED_VALUE"""),0.0)</f>
        <v>0</v>
      </c>
      <c r="H203" s="2"/>
      <c r="I203" s="2"/>
      <c r="J203" s="2"/>
      <c r="K203" s="2"/>
      <c r="L203" s="2"/>
      <c r="M203" s="2"/>
      <c r="N203" s="2"/>
      <c r="O203" s="2"/>
      <c r="P203" s="2"/>
      <c r="Q203" s="2"/>
      <c r="R203" s="2"/>
      <c r="S203" s="2"/>
      <c r="T203" s="2"/>
      <c r="U203" s="2"/>
      <c r="V203" s="2"/>
      <c r="W203" s="2"/>
      <c r="X203" s="2"/>
      <c r="Y203" s="2"/>
      <c r="Z203" s="2"/>
    </row>
    <row r="204">
      <c r="A204" s="2" t="str">
        <f>IFERROR(__xludf.DUMMYFUNCTION("""COMPUTED_VALUE"""),"Ring of Endless Souls")</f>
        <v>Ring of Endless Souls</v>
      </c>
      <c r="B204" s="2"/>
      <c r="C204" s="2"/>
      <c r="D204" s="2" t="str">
        <f>IFERROR(__xludf.DUMMYFUNCTION("""COMPUTED_VALUE"""),"Ring")</f>
        <v>Ring</v>
      </c>
      <c r="E204" s="2">
        <f>IFERROR(__xludf.DUMMYFUNCTION("""COMPUTED_VALUE"""),1.0)</f>
        <v>1</v>
      </c>
      <c r="F204" s="2" t="str">
        <f>IFERROR(__xludf.DUMMYFUNCTION("""COMPUTED_VALUE""")," ++0 Def ++Soul Enchanted - Every time you enchant a soul into this item increase the Def of this item by 10. ")</f>
        <v> ++0 Def ++Soul Enchanted - Every time you enchant a soul into this item increase the Def of this item by 10. </v>
      </c>
      <c r="G204" s="2">
        <f>IFERROR(__xludf.DUMMYFUNCTION("""COMPUTED_VALUE"""),0.0)</f>
        <v>0</v>
      </c>
      <c r="H204" s="2"/>
      <c r="I204" s="2"/>
      <c r="J204" s="2"/>
      <c r="K204" s="2"/>
      <c r="L204" s="2"/>
      <c r="M204" s="2"/>
      <c r="N204" s="2"/>
      <c r="O204" s="2"/>
      <c r="P204" s="2"/>
      <c r="Q204" s="2"/>
      <c r="R204" s="2"/>
      <c r="S204" s="2"/>
      <c r="T204" s="2"/>
      <c r="U204" s="2"/>
      <c r="V204" s="2"/>
      <c r="W204" s="2"/>
      <c r="X204" s="2"/>
      <c r="Y204" s="2"/>
      <c r="Z204" s="2"/>
    </row>
    <row r="205">
      <c r="A205" s="2" t="str">
        <f>IFERROR(__xludf.DUMMYFUNCTION("""COMPUTED_VALUE"""),"Ring of Healing")</f>
        <v>Ring of Healing</v>
      </c>
      <c r="B205" s="2"/>
      <c r="C205" s="2"/>
      <c r="D205" s="2" t="str">
        <f>IFERROR(__xludf.DUMMYFUNCTION("""COMPUTED_VALUE"""),"Ring")</f>
        <v>Ring</v>
      </c>
      <c r="E205" s="2">
        <f>IFERROR(__xludf.DUMMYFUNCTION("""COMPUTED_VALUE"""),1.0)</f>
        <v>1</v>
      </c>
      <c r="F205" s="2" t="str">
        <f>IFERROR(__xludf.DUMMYFUNCTION("""COMPUTED_VALUE""")," ++500 hp per round.")</f>
        <v> ++500 hp per round.</v>
      </c>
      <c r="G205" s="2">
        <f>IFERROR(__xludf.DUMMYFUNCTION("""COMPUTED_VALUE"""),0.0)</f>
        <v>0</v>
      </c>
      <c r="H205" s="2"/>
      <c r="I205" s="2"/>
      <c r="J205" s="2"/>
      <c r="K205" s="2"/>
      <c r="L205" s="2"/>
      <c r="M205" s="2"/>
      <c r="N205" s="2"/>
      <c r="O205" s="2"/>
      <c r="P205" s="2"/>
      <c r="Q205" s="2"/>
      <c r="R205" s="2"/>
      <c r="S205" s="2"/>
      <c r="T205" s="2"/>
      <c r="U205" s="2"/>
      <c r="V205" s="2"/>
      <c r="W205" s="2"/>
      <c r="X205" s="2"/>
      <c r="Y205" s="2"/>
      <c r="Z205" s="2"/>
    </row>
    <row r="206">
      <c r="A206" s="2" t="str">
        <f>IFERROR(__xludf.DUMMYFUNCTION("""COMPUTED_VALUE"""),"Ring of Invulnerability ")</f>
        <v>Ring of Invulnerability </v>
      </c>
      <c r="B206" s="2"/>
      <c r="C206" s="2"/>
      <c r="D206" s="2" t="str">
        <f>IFERROR(__xludf.DUMMYFUNCTION("""COMPUTED_VALUE"""),"Ring")</f>
        <v>Ring</v>
      </c>
      <c r="E206" s="2">
        <f>IFERROR(__xludf.DUMMYFUNCTION("""COMPUTED_VALUE"""),1.0)</f>
        <v>1</v>
      </c>
      <c r="F206" s="2" t="str">
        <f>IFERROR(__xludf.DUMMYFUNCTION("""COMPUTED_VALUE""")," ++Gain invulnerability to damage for the first round of battle, you are unable to inflict any non-magic damage for the first round of battle. +-Cannot be duplicated. +-Cannot be forged. ")</f>
        <v> ++Gain invulnerability to damage for the first round of battle, you are unable to inflict any non-magic damage for the first round of battle. +-Cannot be duplicated. +-Cannot be forged. </v>
      </c>
      <c r="G206" s="2">
        <f>IFERROR(__xludf.DUMMYFUNCTION("""COMPUTED_VALUE"""),0.0)</f>
        <v>0</v>
      </c>
      <c r="H206" s="2"/>
      <c r="I206" s="2"/>
      <c r="J206" s="2"/>
      <c r="K206" s="2"/>
      <c r="L206" s="2"/>
      <c r="M206" s="2"/>
      <c r="N206" s="2"/>
      <c r="O206" s="2"/>
      <c r="P206" s="2"/>
      <c r="Q206" s="2"/>
      <c r="R206" s="2"/>
      <c r="S206" s="2"/>
      <c r="T206" s="2"/>
      <c r="U206" s="2"/>
      <c r="V206" s="2"/>
      <c r="W206" s="2"/>
      <c r="X206" s="2"/>
      <c r="Y206" s="2"/>
      <c r="Z206" s="2"/>
    </row>
    <row r="207">
      <c r="A207" s="2" t="str">
        <f>IFERROR(__xludf.DUMMYFUNCTION("""COMPUTED_VALUE"""),"Ring of Pure Chaos")</f>
        <v>Ring of Pure Chaos</v>
      </c>
      <c r="B207" s="2"/>
      <c r="C207" s="2"/>
      <c r="D207" s="2" t="str">
        <f>IFERROR(__xludf.DUMMYFUNCTION("""COMPUTED_VALUE"""),"Ring")</f>
        <v>Ring</v>
      </c>
      <c r="E207" s="2">
        <f>IFERROR(__xludf.DUMMYFUNCTION("""COMPUTED_VALUE"""),1.0)</f>
        <v>1</v>
      </c>
      <c r="F207" s="2" t="str">
        <f>IFERROR(__xludf.DUMMYFUNCTION("""COMPUTED_VALUE""")," ++X2 Chaos damage, ++ +5 Charisma and Intimidation. +-Cannot be forged +-Cannot be duplicated +-Can only equip one")</f>
        <v> ++X2 Chaos damage, ++ +5 Charisma and Intimidation. +-Cannot be forged +-Cannot be duplicated +-Can only equip one</v>
      </c>
      <c r="G207" s="2">
        <f>IFERROR(__xludf.DUMMYFUNCTION("""COMPUTED_VALUE"""),0.0)</f>
        <v>0</v>
      </c>
      <c r="H207" s="2"/>
      <c r="I207" s="2"/>
      <c r="J207" s="2"/>
      <c r="K207" s="2"/>
      <c r="L207" s="2"/>
      <c r="M207" s="2"/>
      <c r="N207" s="2"/>
      <c r="O207" s="2"/>
      <c r="P207" s="2"/>
      <c r="Q207" s="2"/>
      <c r="R207" s="2"/>
      <c r="S207" s="2"/>
      <c r="T207" s="2"/>
      <c r="U207" s="2"/>
      <c r="V207" s="2"/>
      <c r="W207" s="2"/>
      <c r="X207" s="2"/>
      <c r="Y207" s="2"/>
      <c r="Z207" s="2"/>
    </row>
    <row r="208">
      <c r="A208" s="2" t="str">
        <f>IFERROR(__xludf.DUMMYFUNCTION("""COMPUTED_VALUE"""),"Ring of Pure Defense")</f>
        <v>Ring of Pure Defense</v>
      </c>
      <c r="B208" s="2"/>
      <c r="C208" s="2"/>
      <c r="D208" s="2" t="str">
        <f>IFERROR(__xludf.DUMMYFUNCTION("""COMPUTED_VALUE"""),"Ring")</f>
        <v>Ring</v>
      </c>
      <c r="E208" s="2">
        <f>IFERROR(__xludf.DUMMYFUNCTION("""COMPUTED_VALUE"""),1.0)</f>
        <v>1</v>
      </c>
      <c r="F208" s="2" t="str">
        <f>IFERROR(__xludf.DUMMYFUNCTION("""COMPUTED_VALUE""")," ++Half the damage taken from the next attack 100SP Will Succeed.")</f>
        <v> ++Half the damage taken from the next attack 100SP Will Succeed.</v>
      </c>
      <c r="G208" s="2">
        <f>IFERROR(__xludf.DUMMYFUNCTION("""COMPUTED_VALUE"""),0.0)</f>
        <v>0</v>
      </c>
      <c r="H208" s="2"/>
      <c r="I208" s="2"/>
      <c r="J208" s="2"/>
      <c r="K208" s="2"/>
      <c r="L208" s="2"/>
      <c r="M208" s="2"/>
      <c r="N208" s="2"/>
      <c r="O208" s="2"/>
      <c r="P208" s="2"/>
      <c r="Q208" s="2"/>
      <c r="R208" s="2"/>
      <c r="S208" s="2"/>
      <c r="T208" s="2"/>
      <c r="U208" s="2"/>
      <c r="V208" s="2"/>
      <c r="W208" s="2"/>
      <c r="X208" s="2"/>
      <c r="Y208" s="2"/>
      <c r="Z208" s="2"/>
    </row>
    <row r="209">
      <c r="A209" s="2" t="str">
        <f>IFERROR(__xludf.DUMMYFUNCTION("""COMPUTED_VALUE"""),"Ring of Reflect")</f>
        <v>Ring of Reflect</v>
      </c>
      <c r="B209" s="2"/>
      <c r="C209" s="2"/>
      <c r="D209" s="2" t="str">
        <f>IFERROR(__xludf.DUMMYFUNCTION("""COMPUTED_VALUE"""),"Ring")</f>
        <v>Ring</v>
      </c>
      <c r="E209" s="2">
        <f>IFERROR(__xludf.DUMMYFUNCTION("""COMPUTED_VALUE"""),1.0)</f>
        <v>1</v>
      </c>
      <c r="F209" s="2" t="str">
        <f>IFERROR(__xludf.DUMMYFUNCTION("""COMPUTED_VALUE""")," ++Inflict half the damage you take back to the enemy that dealt it. +-Can only have one equipped. +-Cannot be duplicated.")</f>
        <v> ++Inflict half the damage you take back to the enemy that dealt it. +-Can only have one equipped. +-Cannot be duplicated.</v>
      </c>
      <c r="G209" s="2">
        <f>IFERROR(__xludf.DUMMYFUNCTION("""COMPUTED_VALUE"""),0.0)</f>
        <v>0</v>
      </c>
      <c r="H209" s="2"/>
      <c r="I209" s="2"/>
      <c r="J209" s="2"/>
      <c r="K209" s="2"/>
      <c r="L209" s="2"/>
      <c r="M209" s="2"/>
      <c r="N209" s="2"/>
      <c r="O209" s="2"/>
      <c r="P209" s="2"/>
      <c r="Q209" s="2"/>
      <c r="R209" s="2"/>
      <c r="S209" s="2"/>
      <c r="T209" s="2"/>
      <c r="U209" s="2"/>
      <c r="V209" s="2"/>
      <c r="W209" s="2"/>
      <c r="X209" s="2"/>
      <c r="Y209" s="2"/>
      <c r="Z209" s="2"/>
    </row>
    <row r="210">
      <c r="A210" s="2" t="str">
        <f>IFERROR(__xludf.DUMMYFUNCTION("""COMPUTED_VALUE"""),"Ring of the Bonded Undead")</f>
        <v>Ring of the Bonded Undead</v>
      </c>
      <c r="B210" s="2"/>
      <c r="C210" s="2"/>
      <c r="D210" s="2" t="str">
        <f>IFERROR(__xludf.DUMMYFUNCTION("""COMPUTED_VALUE"""),"Ring")</f>
        <v>Ring</v>
      </c>
      <c r="E210" s="2">
        <f>IFERROR(__xludf.DUMMYFUNCTION("""COMPUTED_VALUE"""),1.0)</f>
        <v>1</v>
      </c>
      <c r="F210" s="2" t="str">
        <f>IFERROR(__xludf.DUMMYFUNCTION("""COMPUTED_VALUE""")," ++When you battle with any Undead target you can deal X2 more damage.")</f>
        <v> ++When you battle with any Undead target you can deal X2 more damage.</v>
      </c>
      <c r="G210" s="2">
        <f>IFERROR(__xludf.DUMMYFUNCTION("""COMPUTED_VALUE"""),0.0)</f>
        <v>0</v>
      </c>
      <c r="H210" s="2"/>
      <c r="I210" s="2"/>
      <c r="J210" s="2"/>
      <c r="K210" s="2"/>
      <c r="L210" s="2"/>
      <c r="M210" s="2"/>
      <c r="N210" s="2"/>
      <c r="O210" s="2"/>
      <c r="P210" s="2"/>
      <c r="Q210" s="2"/>
      <c r="R210" s="2"/>
      <c r="S210" s="2"/>
      <c r="T210" s="2"/>
      <c r="U210" s="2"/>
      <c r="V210" s="2"/>
      <c r="W210" s="2"/>
      <c r="X210" s="2"/>
      <c r="Y210" s="2"/>
      <c r="Z210" s="2"/>
    </row>
    <row r="211">
      <c r="A211" s="2" t="str">
        <f>IFERROR(__xludf.DUMMYFUNCTION("""COMPUTED_VALUE"""),"Ring of the Forgotten")</f>
        <v>Ring of the Forgotten</v>
      </c>
      <c r="B211" s="2"/>
      <c r="C211" s="2"/>
      <c r="D211" s="2" t="str">
        <f>IFERROR(__xludf.DUMMYFUNCTION("""COMPUTED_VALUE"""),"Ring")</f>
        <v>Ring</v>
      </c>
      <c r="E211" s="2">
        <f>IFERROR(__xludf.DUMMYFUNCTION("""COMPUTED_VALUE"""),1.0)</f>
        <v>1</v>
      </c>
      <c r="F211" s="2" t="str">
        <f>IFERROR(__xludf.DUMMYFUNCTION("""COMPUTED_VALUE""")," ++Make a fail/succeed roll to make a target forget they were fighting you. +-Cannot be duplicated")</f>
        <v> ++Make a fail/succeed roll to make a target forget they were fighting you. +-Cannot be duplicated</v>
      </c>
      <c r="G211" s="2">
        <f>IFERROR(__xludf.DUMMYFUNCTION("""COMPUTED_VALUE"""),0.0)</f>
        <v>0</v>
      </c>
      <c r="H211" s="2"/>
      <c r="I211" s="2"/>
      <c r="J211" s="2"/>
      <c r="K211" s="2"/>
      <c r="L211" s="2"/>
      <c r="M211" s="2"/>
      <c r="N211" s="2"/>
      <c r="O211" s="2"/>
      <c r="P211" s="2"/>
      <c r="Q211" s="2"/>
      <c r="R211" s="2"/>
      <c r="S211" s="2"/>
      <c r="T211" s="2"/>
      <c r="U211" s="2"/>
      <c r="V211" s="2"/>
      <c r="W211" s="2"/>
      <c r="X211" s="2"/>
      <c r="Y211" s="2"/>
      <c r="Z211" s="2"/>
    </row>
    <row r="212">
      <c r="A212" s="2" t="str">
        <f>IFERROR(__xludf.DUMMYFUNCTION("""COMPUTED_VALUE"""),"Ring Of Tritonoch")</f>
        <v>Ring Of Tritonoch</v>
      </c>
      <c r="B212" s="2"/>
      <c r="C212" s="2"/>
      <c r="D212" s="2" t="str">
        <f>IFERROR(__xludf.DUMMYFUNCTION("""COMPUTED_VALUE"""),"Ring")</f>
        <v>Ring</v>
      </c>
      <c r="E212" s="2">
        <f>IFERROR(__xludf.DUMMYFUNCTION("""COMPUTED_VALUE"""),1.0)</f>
        <v>1</v>
      </c>
      <c r="F212" s="2" t="str">
        <f>IFERROR(__xludf.DUMMYFUNCTION("""COMPUTED_VALUE""")," ++Waves of Entitlement - x5 additional Water damage")</f>
        <v> ++Waves of Entitlement - x5 additional Water damage</v>
      </c>
      <c r="G212" s="2">
        <f>IFERROR(__xludf.DUMMYFUNCTION("""COMPUTED_VALUE"""),0.0)</f>
        <v>0</v>
      </c>
      <c r="H212" s="2"/>
      <c r="I212" s="2"/>
      <c r="J212" s="2"/>
      <c r="K212" s="2"/>
      <c r="L212" s="2"/>
      <c r="M212" s="2"/>
      <c r="N212" s="2"/>
      <c r="O212" s="2"/>
      <c r="P212" s="2"/>
      <c r="Q212" s="2"/>
      <c r="R212" s="2"/>
      <c r="S212" s="2"/>
      <c r="T212" s="2"/>
      <c r="U212" s="2"/>
      <c r="V212" s="2"/>
      <c r="W212" s="2"/>
      <c r="X212" s="2"/>
      <c r="Y212" s="2"/>
      <c r="Z212" s="2"/>
    </row>
    <row r="213">
      <c r="A213" s="2" t="str">
        <f>IFERROR(__xludf.DUMMYFUNCTION("""COMPUTED_VALUE"""),"Ring of Waking Waters")</f>
        <v>Ring of Waking Waters</v>
      </c>
      <c r="B213" s="2"/>
      <c r="C213" s="2"/>
      <c r="D213" s="2" t="str">
        <f>IFERROR(__xludf.DUMMYFUNCTION("""COMPUTED_VALUE"""),"Ring")</f>
        <v>Ring</v>
      </c>
      <c r="E213" s="2">
        <f>IFERROR(__xludf.DUMMYFUNCTION("""COMPUTED_VALUE"""),100.0)</f>
        <v>100</v>
      </c>
      <c r="F213" s="2" t="str">
        <f>IFERROR(__xludf.DUMMYFUNCTION("""COMPUTED_VALUE"""),", Water DEF: +5000 ++X4 additional water damage for self.")</f>
        <v>, Water DEF: +5000 ++X4 additional water damage for self.</v>
      </c>
      <c r="G213" s="2">
        <f>IFERROR(__xludf.DUMMYFUNCTION("""COMPUTED_VALUE"""),450000.0)</f>
        <v>450000</v>
      </c>
      <c r="H213" s="2"/>
      <c r="I213" s="2"/>
      <c r="J213" s="2"/>
      <c r="K213" s="2"/>
      <c r="L213" s="2"/>
      <c r="M213" s="2"/>
      <c r="N213" s="2"/>
      <c r="O213" s="2"/>
      <c r="P213" s="2"/>
      <c r="Q213" s="2"/>
      <c r="R213" s="2"/>
      <c r="S213" s="2"/>
      <c r="T213" s="2"/>
      <c r="U213" s="2"/>
      <c r="V213" s="2"/>
      <c r="W213" s="2"/>
      <c r="X213" s="2"/>
      <c r="Y213" s="2"/>
      <c r="Z213" s="2"/>
    </row>
    <row r="214">
      <c r="A214" s="2" t="str">
        <f>IFERROR(__xludf.DUMMYFUNCTION("""COMPUTED_VALUE"""),"Robe of The Cultist")</f>
        <v>Robe of The Cultist</v>
      </c>
      <c r="B214" s="2"/>
      <c r="C214" s="2"/>
      <c r="D214" s="2" t="str">
        <f>IFERROR(__xludf.DUMMYFUNCTION("""COMPUTED_VALUE"""),"Torso")</f>
        <v>Torso</v>
      </c>
      <c r="E214" s="2">
        <f>IFERROR(__xludf.DUMMYFUNCTION("""COMPUTED_VALUE"""),80.0)</f>
        <v>80</v>
      </c>
      <c r="F214" s="2" t="str">
        <f>IFERROR(__xludf.DUMMYFUNCTION("""COMPUTED_VALUE"""),"DEF: +2000, Dark DEF: +2000 ++Instant Death Immunity. ++500HP +-Cannot be forged +-Cannot be duplicated")</f>
        <v>DEF: +2000, Dark DEF: +2000 ++Instant Death Immunity. ++500HP +-Cannot be forged +-Cannot be duplicated</v>
      </c>
      <c r="G214" s="2">
        <f>IFERROR(__xludf.DUMMYFUNCTION("""COMPUTED_VALUE"""),280000.0)</f>
        <v>280000</v>
      </c>
      <c r="H214" s="2"/>
      <c r="I214" s="2"/>
      <c r="J214" s="2"/>
      <c r="K214" s="2"/>
      <c r="L214" s="2"/>
      <c r="M214" s="2"/>
      <c r="N214" s="2"/>
      <c r="O214" s="2"/>
      <c r="P214" s="2"/>
      <c r="Q214" s="2"/>
      <c r="R214" s="2"/>
      <c r="S214" s="2"/>
      <c r="T214" s="2"/>
      <c r="U214" s="2"/>
      <c r="V214" s="2"/>
      <c r="W214" s="2"/>
      <c r="X214" s="2"/>
      <c r="Y214" s="2"/>
      <c r="Z214" s="2"/>
    </row>
    <row r="215">
      <c r="A215" s="2" t="str">
        <f>IFERROR(__xludf.DUMMYFUNCTION("""COMPUTED_VALUE"""),"Robe of Vanish")</f>
        <v>Robe of Vanish</v>
      </c>
      <c r="B215" s="2"/>
      <c r="C215" s="2"/>
      <c r="D215" s="2" t="str">
        <f>IFERROR(__xludf.DUMMYFUNCTION("""COMPUTED_VALUE"""),"Torso")</f>
        <v>Torso</v>
      </c>
      <c r="E215" s="2">
        <f>IFERROR(__xludf.DUMMYFUNCTION("""COMPUTED_VALUE"""),20.0)</f>
        <v>20</v>
      </c>
      <c r="F215" s="2" t="str">
        <f>IFERROR(__xludf.DUMMYFUNCTION("""COMPUTED_VALUE"""),"DEF: +900 ++Shadow Disappear - When Equipped you are invulnerable to all damage for the first round of battle. ")</f>
        <v>DEF: +900 ++Shadow Disappear - When Equipped you are invulnerable to all damage for the first round of battle. </v>
      </c>
      <c r="G215" s="2">
        <f>IFERROR(__xludf.DUMMYFUNCTION("""COMPUTED_VALUE"""),1000.0)</f>
        <v>1000</v>
      </c>
      <c r="H215" s="2"/>
      <c r="I215" s="2"/>
      <c r="J215" s="2"/>
      <c r="K215" s="2"/>
      <c r="L215" s="2"/>
      <c r="M215" s="2"/>
      <c r="N215" s="2"/>
      <c r="O215" s="2"/>
      <c r="P215" s="2"/>
      <c r="Q215" s="2"/>
      <c r="R215" s="2"/>
      <c r="S215" s="2"/>
      <c r="T215" s="2"/>
      <c r="U215" s="2"/>
      <c r="V215" s="2"/>
      <c r="W215" s="2"/>
      <c r="X215" s="2"/>
      <c r="Y215" s="2"/>
      <c r="Z215" s="2"/>
    </row>
    <row r="216">
      <c r="A216" s="2" t="str">
        <f>IFERROR(__xludf.DUMMYFUNCTION("""COMPUTED_VALUE"""),"Robes of a Peaceful Immortal")</f>
        <v>Robes of a Peaceful Immortal</v>
      </c>
      <c r="B216" s="2"/>
      <c r="C216" s="2"/>
      <c r="D216" s="2" t="str">
        <f>IFERROR(__xludf.DUMMYFUNCTION("""COMPUTED_VALUE"""),"Torso")</f>
        <v>Torso</v>
      </c>
      <c r="E216" s="2">
        <f>IFERROR(__xludf.DUMMYFUNCTION("""COMPUTED_VALUE"""),1.0)</f>
        <v>1</v>
      </c>
      <c r="F216" s="2" t="str">
        <f>IFERROR(__xludf.DUMMYFUNCTION("""COMPUTED_VALUE""")," ++Peaceful Blessing - Incapable of receiving or dealing damage. +-Cannot be duplicated.")</f>
        <v> ++Peaceful Blessing - Incapable of receiving or dealing damage. +-Cannot be duplicated.</v>
      </c>
      <c r="G216" s="2">
        <f>IFERROR(__xludf.DUMMYFUNCTION("""COMPUTED_VALUE"""),0.0)</f>
        <v>0</v>
      </c>
      <c r="H216" s="2"/>
      <c r="I216" s="2"/>
      <c r="J216" s="2"/>
      <c r="K216" s="2"/>
      <c r="L216" s="2"/>
      <c r="M216" s="2"/>
      <c r="N216" s="2"/>
      <c r="O216" s="2"/>
      <c r="P216" s="2"/>
      <c r="Q216" s="2"/>
      <c r="R216" s="2"/>
      <c r="S216" s="2"/>
      <c r="T216" s="2"/>
      <c r="U216" s="2"/>
      <c r="V216" s="2"/>
      <c r="W216" s="2"/>
      <c r="X216" s="2"/>
      <c r="Y216" s="2"/>
      <c r="Z216" s="2"/>
    </row>
    <row r="217">
      <c r="A217" s="2" t="str">
        <f>IFERROR(__xludf.DUMMYFUNCTION("""COMPUTED_VALUE"""),"Royal Amulet Of Heatmore")</f>
        <v>Royal Amulet Of Heatmore</v>
      </c>
      <c r="B217" s="2"/>
      <c r="C217" s="2"/>
      <c r="D217" s="2" t="str">
        <f>IFERROR(__xludf.DUMMYFUNCTION("""COMPUTED_VALUE"""),"Neck")</f>
        <v>Neck</v>
      </c>
      <c r="E217" s="2">
        <f>IFERROR(__xludf.DUMMYFUNCTION("""COMPUTED_VALUE"""),1.0)</f>
        <v>1</v>
      </c>
      <c r="F217" s="2" t="str">
        <f>IFERROR(__xludf.DUMMYFUNCTION("""COMPUTED_VALUE""")," ++ immune to fire dmg")</f>
        <v> ++ immune to fire dmg</v>
      </c>
      <c r="G217" s="2">
        <f>IFERROR(__xludf.DUMMYFUNCTION("""COMPUTED_VALUE"""),0.0)</f>
        <v>0</v>
      </c>
      <c r="H217" s="2"/>
      <c r="I217" s="2"/>
      <c r="J217" s="2"/>
      <c r="K217" s="2"/>
      <c r="L217" s="2"/>
      <c r="M217" s="2"/>
      <c r="N217" s="2"/>
      <c r="O217" s="2"/>
      <c r="P217" s="2"/>
      <c r="Q217" s="2"/>
      <c r="R217" s="2"/>
      <c r="S217" s="2"/>
      <c r="T217" s="2"/>
      <c r="U217" s="2"/>
      <c r="V217" s="2"/>
      <c r="W217" s="2"/>
      <c r="X217" s="2"/>
      <c r="Y217" s="2"/>
      <c r="Z217" s="2"/>
    </row>
    <row r="218">
      <c r="A218" s="2" t="str">
        <f>IFERROR(__xludf.DUMMYFUNCTION("""COMPUTED_VALUE"""),"Royal Guard Axe")</f>
        <v>Royal Guard Axe</v>
      </c>
      <c r="B218" s="2" t="str">
        <f>IFERROR(__xludf.DUMMYFUNCTION("""COMPUTED_VALUE"""),"Quest Item")</f>
        <v>Quest Item</v>
      </c>
      <c r="C218" s="2"/>
      <c r="D218" s="2" t="str">
        <f>IFERROR(__xludf.DUMMYFUNCTION("""COMPUTED_VALUE"""),"Hand")</f>
        <v>Hand</v>
      </c>
      <c r="E218" s="2">
        <f>IFERROR(__xludf.DUMMYFUNCTION("""COMPUTED_VALUE"""),200.0)</f>
        <v>200</v>
      </c>
      <c r="F218" s="2" t="str">
        <f>IFERROR(__xludf.DUMMYFUNCTION("""COMPUTED_VALUE"""),"DMG: +50000, Light DMG: +50000, Celestial DMG: +50000 ++X4 additional Weapon Damage. +-Cannot be duplicated.")</f>
        <v>DMG: +50000, Light DMG: +50000, Celestial DMG: +50000 ++X4 additional Weapon Damage. +-Cannot be duplicated.</v>
      </c>
      <c r="G218" s="2">
        <f>IFERROR(__xludf.DUMMYFUNCTION("""COMPUTED_VALUE"""),4.485E8)</f>
        <v>448500000</v>
      </c>
      <c r="H218" s="2"/>
      <c r="I218" s="2"/>
      <c r="J218" s="2"/>
      <c r="K218" s="2"/>
      <c r="L218" s="2"/>
      <c r="M218" s="2"/>
      <c r="N218" s="2"/>
      <c r="O218" s="2"/>
      <c r="P218" s="2"/>
      <c r="Q218" s="2"/>
      <c r="R218" s="2"/>
      <c r="S218" s="2"/>
      <c r="T218" s="2"/>
      <c r="U218" s="2"/>
      <c r="V218" s="2"/>
      <c r="W218" s="2"/>
      <c r="X218" s="2"/>
      <c r="Y218" s="2"/>
      <c r="Z218" s="2"/>
    </row>
    <row r="219">
      <c r="A219" s="2" t="str">
        <f>IFERROR(__xludf.DUMMYFUNCTION("""COMPUTED_VALUE"""),"Royal Guard Helmet")</f>
        <v>Royal Guard Helmet</v>
      </c>
      <c r="B219" s="2" t="str">
        <f>IFERROR(__xludf.DUMMYFUNCTION("""COMPUTED_VALUE"""),"Quest Item")</f>
        <v>Quest Item</v>
      </c>
      <c r="C219" s="2"/>
      <c r="D219" s="2" t="str">
        <f>IFERROR(__xludf.DUMMYFUNCTION("""COMPUTED_VALUE"""),"Head")</f>
        <v>Head</v>
      </c>
      <c r="E219" s="2">
        <f>IFERROR(__xludf.DUMMYFUNCTION("""COMPUTED_VALUE"""),200.0)</f>
        <v>200</v>
      </c>
      <c r="F219" s="2" t="str">
        <f>IFERROR(__xludf.DUMMYFUNCTION("""COMPUTED_VALUE"""),"DEF: +50000, Light DEF: +50000, Celestial DEF: +50000 ++X4 Additional Weapon damage. ++X2 Additional Defense. +-Cannot be duplicated.")</f>
        <v>DEF: +50000, Light DEF: +50000, Celestial DEF: +50000 ++X4 Additional Weapon damage. ++X2 Additional Defense. +-Cannot be duplicated.</v>
      </c>
      <c r="G219" s="2">
        <f>IFERROR(__xludf.DUMMYFUNCTION("""COMPUTED_VALUE"""),4.485E8)</f>
        <v>448500000</v>
      </c>
      <c r="H219" s="2"/>
      <c r="I219" s="2"/>
      <c r="J219" s="2"/>
      <c r="K219" s="2"/>
      <c r="L219" s="2"/>
      <c r="M219" s="2"/>
      <c r="N219" s="2"/>
      <c r="O219" s="2"/>
      <c r="P219" s="2"/>
      <c r="Q219" s="2"/>
      <c r="R219" s="2"/>
      <c r="S219" s="2"/>
      <c r="T219" s="2"/>
      <c r="U219" s="2"/>
      <c r="V219" s="2"/>
      <c r="W219" s="2"/>
      <c r="X219" s="2"/>
      <c r="Y219" s="2"/>
      <c r="Z219" s="2"/>
    </row>
    <row r="220">
      <c r="A220" s="2" t="str">
        <f>IFERROR(__xludf.DUMMYFUNCTION("""COMPUTED_VALUE"""),"Royal Guard Chestplate")</f>
        <v>Royal Guard Chestplate</v>
      </c>
      <c r="B220" s="2" t="str">
        <f>IFERROR(__xludf.DUMMYFUNCTION("""COMPUTED_VALUE"""),"Quest Item")</f>
        <v>Quest Item</v>
      </c>
      <c r="C220" s="2"/>
      <c r="D220" s="2" t="str">
        <f>IFERROR(__xludf.DUMMYFUNCTION("""COMPUTED_VALUE"""),"Torso")</f>
        <v>Torso</v>
      </c>
      <c r="E220" s="2">
        <f>IFERROR(__xludf.DUMMYFUNCTION("""COMPUTED_VALUE"""),200.0)</f>
        <v>200</v>
      </c>
      <c r="F220" s="2" t="str">
        <f>IFERROR(__xludf.DUMMYFUNCTION("""COMPUTED_VALUE"""),"DEF: +50000, Light DEF: +50000, Celestial DEF: +50000 ++X4 Additional Weapon damage. ++X2 Additional Defense. +-Cannot be duplicated.")</f>
        <v>DEF: +50000, Light DEF: +50000, Celestial DEF: +50000 ++X4 Additional Weapon damage. ++X2 Additional Defense. +-Cannot be duplicated.</v>
      </c>
      <c r="G220" s="2">
        <f>IFERROR(__xludf.DUMMYFUNCTION("""COMPUTED_VALUE"""),4.485E8)</f>
        <v>448500000</v>
      </c>
      <c r="H220" s="2"/>
      <c r="I220" s="2"/>
      <c r="J220" s="2"/>
      <c r="K220" s="2"/>
      <c r="L220" s="2"/>
      <c r="M220" s="2"/>
      <c r="N220" s="2"/>
      <c r="O220" s="2"/>
      <c r="P220" s="2"/>
      <c r="Q220" s="2"/>
      <c r="R220" s="2"/>
      <c r="S220" s="2"/>
      <c r="T220" s="2"/>
      <c r="U220" s="2"/>
      <c r="V220" s="2"/>
      <c r="W220" s="2"/>
      <c r="X220" s="2"/>
      <c r="Y220" s="2"/>
      <c r="Z220" s="2"/>
    </row>
    <row r="221">
      <c r="A221" s="2" t="str">
        <f>IFERROR(__xludf.DUMMYFUNCTION("""COMPUTED_VALUE"""),"Royal Guard Boots")</f>
        <v>Royal Guard Boots</v>
      </c>
      <c r="B221" s="2" t="str">
        <f>IFERROR(__xludf.DUMMYFUNCTION("""COMPUTED_VALUE"""),"Quest Item")</f>
        <v>Quest Item</v>
      </c>
      <c r="C221" s="2"/>
      <c r="D221" s="2" t="str">
        <f>IFERROR(__xludf.DUMMYFUNCTION("""COMPUTED_VALUE"""),"Feet")</f>
        <v>Feet</v>
      </c>
      <c r="E221" s="2">
        <f>IFERROR(__xludf.DUMMYFUNCTION("""COMPUTED_VALUE"""),200.0)</f>
        <v>200</v>
      </c>
      <c r="F221" s="2" t="str">
        <f>IFERROR(__xludf.DUMMYFUNCTION("""COMPUTED_VALUE"""),"DEF: +50000, Light DEF: +50000, Celestial DEF: +50000 ++X4 Additional Weapon damage. ++X2 Additional Defense. +-Cannot be duplicated.")</f>
        <v>DEF: +50000, Light DEF: +50000, Celestial DEF: +50000 ++X4 Additional Weapon damage. ++X2 Additional Defense. +-Cannot be duplicated.</v>
      </c>
      <c r="G221" s="2">
        <f>IFERROR(__xludf.DUMMYFUNCTION("""COMPUTED_VALUE"""),4.485E8)</f>
        <v>448500000</v>
      </c>
      <c r="H221" s="2"/>
      <c r="I221" s="2"/>
      <c r="J221" s="2"/>
      <c r="K221" s="2"/>
      <c r="L221" s="2"/>
      <c r="M221" s="2"/>
      <c r="N221" s="2"/>
      <c r="O221" s="2"/>
      <c r="P221" s="2"/>
      <c r="Q221" s="2"/>
      <c r="R221" s="2"/>
      <c r="S221" s="2"/>
      <c r="T221" s="2"/>
      <c r="U221" s="2"/>
      <c r="V221" s="2"/>
      <c r="W221" s="2"/>
      <c r="X221" s="2"/>
      <c r="Y221" s="2"/>
      <c r="Z221" s="2"/>
    </row>
    <row r="222">
      <c r="A222" s="2" t="str">
        <f>IFERROR(__xludf.DUMMYFUNCTION("""COMPUTED_VALUE"""),"Royal Guard Greaves")</f>
        <v>Royal Guard Greaves</v>
      </c>
      <c r="B222" s="2" t="str">
        <f>IFERROR(__xludf.DUMMYFUNCTION("""COMPUTED_VALUE"""),"Quest Item")</f>
        <v>Quest Item</v>
      </c>
      <c r="C222" s="2"/>
      <c r="D222" s="2" t="str">
        <f>IFERROR(__xludf.DUMMYFUNCTION("""COMPUTED_VALUE"""),"Legs")</f>
        <v>Legs</v>
      </c>
      <c r="E222" s="2">
        <f>IFERROR(__xludf.DUMMYFUNCTION("""COMPUTED_VALUE"""),200.0)</f>
        <v>200</v>
      </c>
      <c r="F222" s="2" t="str">
        <f>IFERROR(__xludf.DUMMYFUNCTION("""COMPUTED_VALUE"""),"DEF: +50000, Light DEF: +50000, Celestial DEF: +50000 ++X4 Additional Weapon damage. ++X2 Additional Defense. +-Cannot be duplicated.")</f>
        <v>DEF: +50000, Light DEF: +50000, Celestial DEF: +50000 ++X4 Additional Weapon damage. ++X2 Additional Defense. +-Cannot be duplicated.</v>
      </c>
      <c r="G222" s="2">
        <f>IFERROR(__xludf.DUMMYFUNCTION("""COMPUTED_VALUE"""),4.485E8)</f>
        <v>448500000</v>
      </c>
      <c r="H222" s="2"/>
      <c r="I222" s="2"/>
      <c r="J222" s="2"/>
      <c r="K222" s="2"/>
      <c r="L222" s="2"/>
      <c r="M222" s="2"/>
      <c r="N222" s="2"/>
      <c r="O222" s="2"/>
      <c r="P222" s="2"/>
      <c r="Q222" s="2"/>
      <c r="R222" s="2"/>
      <c r="S222" s="2"/>
      <c r="T222" s="2"/>
      <c r="U222" s="2"/>
      <c r="V222" s="2"/>
      <c r="W222" s="2"/>
      <c r="X222" s="2"/>
      <c r="Y222" s="2"/>
      <c r="Z222" s="2"/>
    </row>
    <row r="223">
      <c r="A223" s="2" t="str">
        <f>IFERROR(__xludf.DUMMYFUNCTION("""COMPUTED_VALUE"""),"Royal Keeper Shield")</f>
        <v>Royal Keeper Shield</v>
      </c>
      <c r="B223" s="2"/>
      <c r="C223" s="2" t="str">
        <f>IFERROR(__xludf.DUMMYFUNCTION("""COMPUTED_VALUE"""),"Towershield")</f>
        <v>Towershield</v>
      </c>
      <c r="D223" s="2" t="str">
        <f>IFERROR(__xludf.DUMMYFUNCTION("""COMPUTED_VALUE"""),"Hand")</f>
        <v>Hand</v>
      </c>
      <c r="E223" s="2">
        <f>IFERROR(__xludf.DUMMYFUNCTION("""COMPUTED_VALUE"""),20.0)</f>
        <v>20</v>
      </c>
      <c r="F223" s="2" t="str">
        <f>IFERROR(__xludf.DUMMYFUNCTION("""COMPUTED_VALUE"""),"DEF: +1000 ++Royal Block - Gan invulnerability to all damage for 3 rounds of battle. 5000SP Will Succeed.")</f>
        <v>DEF: +1000 ++Royal Block - Gan invulnerability to all damage for 3 rounds of battle. 5000SP Will Succeed.</v>
      </c>
      <c r="G223" s="2">
        <f>IFERROR(__xludf.DUMMYFUNCTION("""COMPUTED_VALUE"""),10000.0)</f>
        <v>10000</v>
      </c>
      <c r="H223" s="2"/>
      <c r="I223" s="2"/>
      <c r="J223" s="2"/>
      <c r="K223" s="2"/>
      <c r="L223" s="2"/>
      <c r="M223" s="2"/>
      <c r="N223" s="2"/>
      <c r="O223" s="2"/>
      <c r="P223" s="2"/>
      <c r="Q223" s="2"/>
      <c r="R223" s="2"/>
      <c r="S223" s="2"/>
      <c r="T223" s="2"/>
      <c r="U223" s="2"/>
      <c r="V223" s="2"/>
      <c r="W223" s="2"/>
      <c r="X223" s="2"/>
      <c r="Y223" s="2"/>
      <c r="Z223" s="2"/>
    </row>
    <row r="224">
      <c r="A224" s="2" t="str">
        <f>IFERROR(__xludf.DUMMYFUNCTION("""COMPUTED_VALUE"""),"Royal Keeper Spear")</f>
        <v>Royal Keeper Spear</v>
      </c>
      <c r="B224" s="2"/>
      <c r="C224" s="2" t="str">
        <f>IFERROR(__xludf.DUMMYFUNCTION("""COMPUTED_VALUE"""),"Spear")</f>
        <v>Spear</v>
      </c>
      <c r="D224" s="2" t="str">
        <f>IFERROR(__xludf.DUMMYFUNCTION("""COMPUTED_VALUE"""),"Hand")</f>
        <v>Hand</v>
      </c>
      <c r="E224" s="2">
        <f>IFERROR(__xludf.DUMMYFUNCTION("""COMPUTED_VALUE"""),400.0)</f>
        <v>400</v>
      </c>
      <c r="F224" s="2" t="str">
        <f>IFERROR(__xludf.DUMMYFUNCTION("""COMPUTED_VALUE"""),"DMG: +10000, Fire DMG: +10000 ++Royal Stance -  Shuttering 1 for the first round of battle.")</f>
        <v>DMG: +10000, Fire DMG: +10000 ++Royal Stance -  Shuttering 1 for the first round of battle.</v>
      </c>
      <c r="G224" s="2">
        <f>IFERROR(__xludf.DUMMYFUNCTION("""COMPUTED_VALUE"""),7800000.0)</f>
        <v>7800000</v>
      </c>
      <c r="H224" s="2"/>
      <c r="I224" s="2"/>
      <c r="J224" s="2"/>
      <c r="K224" s="2"/>
      <c r="L224" s="2"/>
      <c r="M224" s="2"/>
      <c r="N224" s="2"/>
      <c r="O224" s="2"/>
      <c r="P224" s="2"/>
      <c r="Q224" s="2"/>
      <c r="R224" s="2"/>
      <c r="S224" s="2"/>
      <c r="T224" s="2"/>
      <c r="U224" s="2"/>
      <c r="V224" s="2"/>
      <c r="W224" s="2"/>
      <c r="X224" s="2"/>
      <c r="Y224" s="2"/>
      <c r="Z224" s="2"/>
    </row>
    <row r="225">
      <c r="A225" s="2" t="str">
        <f>IFERROR(__xludf.DUMMYFUNCTION("""COMPUTED_VALUE"""),"Royal Sword of Chaotic Shadows")</f>
        <v>Royal Sword of Chaotic Shadows</v>
      </c>
      <c r="B225" s="2"/>
      <c r="C225" s="2" t="str">
        <f>IFERROR(__xludf.DUMMYFUNCTION("""COMPUTED_VALUE"""),"Sword")</f>
        <v>Sword</v>
      </c>
      <c r="D225" s="2" t="str">
        <f>IFERROR(__xludf.DUMMYFUNCTION("""COMPUTED_VALUE"""),"Hand")</f>
        <v>Hand</v>
      </c>
      <c r="E225" s="2">
        <f>IFERROR(__xludf.DUMMYFUNCTION("""COMPUTED_VALUE"""),900.0)</f>
        <v>900</v>
      </c>
      <c r="F225" s="2" t="str">
        <f>IFERROR(__xludf.DUMMYFUNCTION("""COMPUTED_VALUE"""),"DMG: +15000, Dark DMG: +15000, Chaos DMG: +15000 ++Dark and Chaos Weapons and Spells deal an additional X2 damage while this item is equipped.. +-Cannot be duplicated.")</f>
        <v>DMG: +15000, Dark DMG: +15000, Chaos DMG: +15000 ++Dark and Chaos Weapons and Spells deal an additional X2 damage while this item is equipped.. +-Cannot be duplicated.</v>
      </c>
      <c r="G225" s="2">
        <f>IFERROR(__xludf.DUMMYFUNCTION("""COMPUTED_VALUE"""),4.005E7)</f>
        <v>40050000</v>
      </c>
      <c r="H225" s="2"/>
      <c r="I225" s="2"/>
      <c r="J225" s="2"/>
      <c r="K225" s="2"/>
      <c r="L225" s="2"/>
      <c r="M225" s="2"/>
      <c r="N225" s="2"/>
      <c r="O225" s="2"/>
      <c r="P225" s="2"/>
      <c r="Q225" s="2"/>
      <c r="R225" s="2"/>
      <c r="S225" s="2"/>
      <c r="T225" s="2"/>
      <c r="U225" s="2"/>
      <c r="V225" s="2"/>
      <c r="W225" s="2"/>
      <c r="X225" s="2"/>
      <c r="Y225" s="2"/>
      <c r="Z225" s="2"/>
    </row>
    <row r="226">
      <c r="A226" s="2" t="str">
        <f>IFERROR(__xludf.DUMMYFUNCTION("""COMPUTED_VALUE"""),"Rusty sword")</f>
        <v>Rusty sword</v>
      </c>
      <c r="B226" s="2"/>
      <c r="C226" s="2" t="str">
        <f>IFERROR(__xludf.DUMMYFUNCTION("""COMPUTED_VALUE"""),"Sword")</f>
        <v>Sword</v>
      </c>
      <c r="D226" s="2" t="str">
        <f>IFERROR(__xludf.DUMMYFUNCTION("""COMPUTED_VALUE"""),"Hand")</f>
        <v>Hand</v>
      </c>
      <c r="E226" s="2">
        <f>IFERROR(__xludf.DUMMYFUNCTION("""COMPUTED_VALUE"""),1.0)</f>
        <v>1</v>
      </c>
      <c r="F226" s="2" t="str">
        <f>IFERROR(__xludf.DUMMYFUNCTION("""COMPUTED_VALUE"""),"DMG: +60 ++25% chance to break with each use")</f>
        <v>DMG: +60 ++25% chance to break with each use</v>
      </c>
      <c r="G226" s="2">
        <f>IFERROR(__xludf.DUMMYFUNCTION("""COMPUTED_VALUE"""),0.0)</f>
        <v>0</v>
      </c>
      <c r="H226" s="2"/>
      <c r="I226" s="2"/>
      <c r="J226" s="2"/>
      <c r="K226" s="2"/>
      <c r="L226" s="2"/>
      <c r="M226" s="2"/>
      <c r="N226" s="2"/>
      <c r="O226" s="2"/>
      <c r="P226" s="2"/>
      <c r="Q226" s="2"/>
      <c r="R226" s="2"/>
      <c r="S226" s="2"/>
      <c r="T226" s="2"/>
      <c r="U226" s="2"/>
      <c r="V226" s="2"/>
      <c r="W226" s="2"/>
      <c r="X226" s="2"/>
      <c r="Y226" s="2"/>
      <c r="Z226" s="2"/>
    </row>
    <row r="227">
      <c r="A227" s="2" t="str">
        <f>IFERROR(__xludf.DUMMYFUNCTION("""COMPUTED_VALUE"""),"Saber Toothed Sword")</f>
        <v>Saber Toothed Sword</v>
      </c>
      <c r="B227" s="2" t="str">
        <f>IFERROR(__xludf.DUMMYFUNCTION("""COMPUTED_VALUE"""),"A sword crafted from the teeth of a saber toothed cat.")</f>
        <v>A sword crafted from the teeth of a saber toothed cat.</v>
      </c>
      <c r="C227" s="2" t="str">
        <f>IFERROR(__xludf.DUMMYFUNCTION("""COMPUTED_VALUE"""),"Sword")</f>
        <v>Sword</v>
      </c>
      <c r="D227" s="2" t="str">
        <f>IFERROR(__xludf.DUMMYFUNCTION("""COMPUTED_VALUE"""),"Hand")</f>
        <v>Hand</v>
      </c>
      <c r="E227" s="2">
        <f>IFERROR(__xludf.DUMMYFUNCTION("""COMPUTED_VALUE"""),2200.0)</f>
        <v>2200</v>
      </c>
      <c r="F227" s="2" t="str">
        <f>IFERROR(__xludf.DUMMYFUNCTION("""COMPUTED_VALUE"""),"DMG: +60000, Blood DMG: +50000 ++X2 additional blood damage.")</f>
        <v>DMG: +60000, Blood DMG: +50000 ++X2 additional blood damage.</v>
      </c>
      <c r="G227" s="2">
        <f>IFERROR(__xludf.DUMMYFUNCTION("""COMPUTED_VALUE"""),2.409E8)</f>
        <v>240900000</v>
      </c>
      <c r="H227" s="2"/>
      <c r="I227" s="2"/>
      <c r="J227" s="2"/>
      <c r="K227" s="2"/>
      <c r="L227" s="2"/>
      <c r="M227" s="2"/>
      <c r="N227" s="2"/>
      <c r="O227" s="2"/>
      <c r="P227" s="2"/>
      <c r="Q227" s="2"/>
      <c r="R227" s="2"/>
      <c r="S227" s="2"/>
      <c r="T227" s="2"/>
      <c r="U227" s="2"/>
      <c r="V227" s="2"/>
      <c r="W227" s="2"/>
      <c r="X227" s="2"/>
      <c r="Y227" s="2"/>
      <c r="Z227" s="2"/>
    </row>
    <row r="228">
      <c r="A228" s="2" t="str">
        <f>IFERROR(__xludf.DUMMYFUNCTION("""COMPUTED_VALUE"""),"Ancient Oni Chestplate")</f>
        <v>Ancient Oni Chestplate</v>
      </c>
      <c r="B228" s="2" t="str">
        <f>IFERROR(__xludf.DUMMYFUNCTION("""COMPUTED_VALUE"""),"An ancient relic to Zhenmay")</f>
        <v>An ancient relic to Zhenmay</v>
      </c>
      <c r="C228" s="2"/>
      <c r="D228" s="2" t="str">
        <f>IFERROR(__xludf.DUMMYFUNCTION("""COMPUTED_VALUE"""),"Torso")</f>
        <v>Torso</v>
      </c>
      <c r="E228" s="2">
        <f>IFERROR(__xludf.DUMMYFUNCTION("""COMPUTED_VALUE"""),200.0)</f>
        <v>200</v>
      </c>
      <c r="F228" s="2"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damage for all elements. ++Only Samurai's, Monks, and Ninjas can equip. +-Cannot be duplicated or forged.")</f>
        <v>DEF: +10000, Fire DEF: +10000, Physical DEF: +10000, Water DEF: +10000, Storm DEF: +10000, Earth DEF: +10000, Light DEF: +10000, Dark DEF: +10000, Spirit DEF: +10000, Order DEF: +10000, Chaos DEF: +10000, Nature DEF: +10000, Voodoo DEF: +10000, Blood DEF: +10000, Astral DEF: +10000, Celestial DEF: +10000 ++X2 damage for all elements. ++Only Samurai's, Monks, and Ninjas can equip. +-Cannot be duplicated or forged.</v>
      </c>
      <c r="G228" s="2">
        <f>IFERROR(__xludf.DUMMYFUNCTION("""COMPUTED_VALUE"""),5.104E8)</f>
        <v>510400000</v>
      </c>
      <c r="H228" s="2"/>
      <c r="I228" s="2"/>
      <c r="J228" s="2"/>
      <c r="K228" s="2"/>
      <c r="L228" s="2"/>
      <c r="M228" s="2"/>
      <c r="N228" s="2"/>
      <c r="O228" s="2"/>
      <c r="P228" s="2"/>
      <c r="Q228" s="2"/>
      <c r="R228" s="2"/>
      <c r="S228" s="2"/>
      <c r="T228" s="2"/>
      <c r="U228" s="2"/>
      <c r="V228" s="2"/>
      <c r="W228" s="2"/>
      <c r="X228" s="2"/>
      <c r="Y228" s="2"/>
      <c r="Z228" s="2"/>
    </row>
    <row r="229">
      <c r="A229" s="2" t="str">
        <f>IFERROR(__xludf.DUMMYFUNCTION("""COMPUTED_VALUE"""),"Scythe of Mischief ")</f>
        <v>Scythe of Mischief </v>
      </c>
      <c r="B229" s="2"/>
      <c r="C229" s="2" t="str">
        <f>IFERROR(__xludf.DUMMYFUNCTION("""COMPUTED_VALUE"""),"Scythe")</f>
        <v>Scythe</v>
      </c>
      <c r="D229" s="2" t="str">
        <f>IFERROR(__xludf.DUMMYFUNCTION("""COMPUTED_VALUE"""),"Hand")</f>
        <v>Hand</v>
      </c>
      <c r="E229" s="2">
        <f>IFERROR(__xludf.DUMMYFUNCTION("""COMPUTED_VALUE"""),200.0)</f>
        <v>200</v>
      </c>
      <c r="F229" s="2" t="str">
        <f>IFERROR(__xludf.DUMMYFUNCTION("""COMPUTED_VALUE"""),"DMG: +5000, Fire DMG: +5000, Dark DMG: +5000, Spirit DMG: +5000, Chaos DMG: +5000, Stasis DMG: +5000, Twilight DMG: +5000, Voodoo DMG: +5000, Blood DMG: +5000, Celestial DMG: +10000 ++Enemies deduct 2 from their rolls when targeting you. +-Cannot be dupli"&amp;"cated")</f>
        <v>DMG: +5000, Fire DMG: +5000, Dark DMG: +5000, Spirit DMG: +5000, Chaos DMG: +5000, Stasis DMG: +5000, Twilight DMG: +5000, Voodoo DMG: +5000, Blood DMG: +5000, Celestial DMG: +10000 ++Enemies deduct 2 from their rolls when targeting you. +-Cannot be duplicated</v>
      </c>
      <c r="G229" s="2">
        <f>IFERROR(__xludf.DUMMYFUNCTION("""COMPUTED_VALUE"""),5.995E7)</f>
        <v>59950000</v>
      </c>
      <c r="H229" s="2"/>
      <c r="I229" s="2"/>
      <c r="J229" s="2"/>
      <c r="K229" s="2"/>
      <c r="L229" s="2"/>
      <c r="M229" s="2"/>
      <c r="N229" s="2"/>
      <c r="O229" s="2"/>
      <c r="P229" s="2"/>
      <c r="Q229" s="2"/>
      <c r="R229" s="2"/>
      <c r="S229" s="2"/>
      <c r="T229" s="2"/>
      <c r="U229" s="2"/>
      <c r="V229" s="2"/>
      <c r="W229" s="2"/>
      <c r="X229" s="2"/>
      <c r="Y229" s="2"/>
      <c r="Z229" s="2"/>
    </row>
    <row r="230">
      <c r="A230" s="2" t="str">
        <f>IFERROR(__xludf.DUMMYFUNCTION("""COMPUTED_VALUE"""),"Sea Serpent Boots")</f>
        <v>Sea Serpent Boots</v>
      </c>
      <c r="B230" s="2"/>
      <c r="C230" s="2"/>
      <c r="D230" s="2" t="str">
        <f>IFERROR(__xludf.DUMMYFUNCTION("""COMPUTED_VALUE"""),"Feet")</f>
        <v>Feet</v>
      </c>
      <c r="E230" s="2">
        <f>IFERROR(__xludf.DUMMYFUNCTION("""COMPUTED_VALUE"""),100.0)</f>
        <v>100</v>
      </c>
      <c r="F230" s="2" t="str">
        <f>IFERROR(__xludf.DUMMYFUNCTION("""COMPUTED_VALUE"""),"DEF: +2500, Water DEF: +2500 ++X2 additional water damage for self.")</f>
        <v>DEF: +2500, Water DEF: +2500 ++X2 additional water damage for self.</v>
      </c>
      <c r="G230" s="2">
        <f>IFERROR(__xludf.DUMMYFUNCTION("""COMPUTED_VALUE"""),450000.0)</f>
        <v>450000</v>
      </c>
      <c r="H230" s="2"/>
      <c r="I230" s="2"/>
      <c r="J230" s="2"/>
      <c r="K230" s="2"/>
      <c r="L230" s="2"/>
      <c r="M230" s="2"/>
      <c r="N230" s="2"/>
      <c r="O230" s="2"/>
      <c r="P230" s="2"/>
      <c r="Q230" s="2"/>
      <c r="R230" s="2"/>
      <c r="S230" s="2"/>
      <c r="T230" s="2"/>
      <c r="U230" s="2"/>
      <c r="V230" s="2"/>
      <c r="W230" s="2"/>
      <c r="X230" s="2"/>
      <c r="Y230" s="2"/>
      <c r="Z230" s="2"/>
    </row>
    <row r="231">
      <c r="A231" s="2" t="str">
        <f>IFERROR(__xludf.DUMMYFUNCTION("""COMPUTED_VALUE"""),"Sea Serpent Pauldrons")</f>
        <v>Sea Serpent Pauldrons</v>
      </c>
      <c r="B231" s="2"/>
      <c r="C231" s="2"/>
      <c r="D231" s="2" t="str">
        <f>IFERROR(__xludf.DUMMYFUNCTION("""COMPUTED_VALUE"""),"Shoulders")</f>
        <v>Shoulders</v>
      </c>
      <c r="E231" s="2">
        <f>IFERROR(__xludf.DUMMYFUNCTION("""COMPUTED_VALUE"""),100.0)</f>
        <v>100</v>
      </c>
      <c r="F231" s="2" t="str">
        <f>IFERROR(__xludf.DUMMYFUNCTION("""COMPUTED_VALUE"""),"DEF: +2500, Water DEF: +2500 ++X2 additional water damage for self.")</f>
        <v>DEF: +2500, Water DEF: +2500 ++X2 additional water damage for self.</v>
      </c>
      <c r="G231" s="2">
        <f>IFERROR(__xludf.DUMMYFUNCTION("""COMPUTED_VALUE"""),450000.0)</f>
        <v>450000</v>
      </c>
      <c r="H231" s="2"/>
      <c r="I231" s="2"/>
      <c r="J231" s="2"/>
      <c r="K231" s="2"/>
      <c r="L231" s="2"/>
      <c r="M231" s="2"/>
      <c r="N231" s="2"/>
      <c r="O231" s="2"/>
      <c r="P231" s="2"/>
      <c r="Q231" s="2"/>
      <c r="R231" s="2"/>
      <c r="S231" s="2"/>
      <c r="T231" s="2"/>
      <c r="U231" s="2"/>
      <c r="V231" s="2"/>
      <c r="W231" s="2"/>
      <c r="X231" s="2"/>
      <c r="Y231" s="2"/>
      <c r="Z231" s="2"/>
    </row>
    <row r="232">
      <c r="A232" s="2" t="str">
        <f>IFERROR(__xludf.DUMMYFUNCTION("""COMPUTED_VALUE"""),"Sea Serpent Vambrace")</f>
        <v>Sea Serpent Vambrace</v>
      </c>
      <c r="B232" s="2"/>
      <c r="C232" s="2"/>
      <c r="D232" s="2" t="str">
        <f>IFERROR(__xludf.DUMMYFUNCTION("""COMPUTED_VALUE"""),"Arms")</f>
        <v>Arms</v>
      </c>
      <c r="E232" s="2">
        <f>IFERROR(__xludf.DUMMYFUNCTION("""COMPUTED_VALUE"""),100.0)</f>
        <v>100</v>
      </c>
      <c r="F232" s="2" t="str">
        <f>IFERROR(__xludf.DUMMYFUNCTION("""COMPUTED_VALUE"""),"DEF: +2500, Water DEF: +2500 ++X2 additional water damage for self.")</f>
        <v>DEF: +2500, Water DEF: +2500 ++X2 additional water damage for self.</v>
      </c>
      <c r="G232" s="2">
        <f>IFERROR(__xludf.DUMMYFUNCTION("""COMPUTED_VALUE"""),450000.0)</f>
        <v>450000</v>
      </c>
      <c r="H232" s="2"/>
      <c r="I232" s="2"/>
      <c r="J232" s="2"/>
      <c r="K232" s="2"/>
      <c r="L232" s="2"/>
      <c r="M232" s="2"/>
      <c r="N232" s="2"/>
      <c r="O232" s="2"/>
      <c r="P232" s="2"/>
      <c r="Q232" s="2"/>
      <c r="R232" s="2"/>
      <c r="S232" s="2"/>
      <c r="T232" s="2"/>
      <c r="U232" s="2"/>
      <c r="V232" s="2"/>
      <c r="W232" s="2"/>
      <c r="X232" s="2"/>
      <c r="Y232" s="2"/>
      <c r="Z232" s="2"/>
    </row>
    <row r="233">
      <c r="A233" s="2" t="str">
        <f>IFERROR(__xludf.DUMMYFUNCTION("""COMPUTED_VALUE"""),"Sea Serpents Mythical Chestplate")</f>
        <v>Sea Serpents Mythical Chestplate</v>
      </c>
      <c r="B233" s="2"/>
      <c r="C233" s="2"/>
      <c r="D233" s="2" t="str">
        <f>IFERROR(__xludf.DUMMYFUNCTION("""COMPUTED_VALUE"""),"Torso")</f>
        <v>Torso</v>
      </c>
      <c r="E233" s="2">
        <f>IFERROR(__xludf.DUMMYFUNCTION("""COMPUTED_VALUE"""),200.0)</f>
        <v>200</v>
      </c>
      <c r="F233" s="2" t="str">
        <f>IFERROR(__xludf.DUMMYFUNCTION("""COMPUTED_VALUE"""),"DEF: +5000, Water DEF: +5000 ++X2 additional water damage for self. ++X4 Water damage for self and allies if you have all Sea Serpent Equipment Equipped.")</f>
        <v>DEF: +5000, Water DEF: +5000 ++X2 additional water damage for self. ++X4 Water damage for self and allies if you have all Sea Serpent Equipment Equipped.</v>
      </c>
      <c r="G233" s="2">
        <f>IFERROR(__xludf.DUMMYFUNCTION("""COMPUTED_VALUE"""),1900000.0)</f>
        <v>1900000</v>
      </c>
      <c r="H233" s="2"/>
      <c r="I233" s="2"/>
      <c r="J233" s="2"/>
      <c r="K233" s="2"/>
      <c r="L233" s="2"/>
      <c r="M233" s="2"/>
      <c r="N233" s="2"/>
      <c r="O233" s="2"/>
      <c r="P233" s="2"/>
      <c r="Q233" s="2"/>
      <c r="R233" s="2"/>
      <c r="S233" s="2"/>
      <c r="T233" s="2"/>
      <c r="U233" s="2"/>
      <c r="V233" s="2"/>
      <c r="W233" s="2"/>
      <c r="X233" s="2"/>
      <c r="Y233" s="2"/>
      <c r="Z233" s="2"/>
    </row>
    <row r="234">
      <c r="A234" s="2" t="str">
        <f>IFERROR(__xludf.DUMMYFUNCTION("""COMPUTED_VALUE"""),"Shadow Flute")</f>
        <v>Shadow Flute</v>
      </c>
      <c r="B234" s="2"/>
      <c r="C234" s="2"/>
      <c r="D234" s="2" t="str">
        <f>IFERROR(__xludf.DUMMYFUNCTION("""COMPUTED_VALUE"""),"Hand")</f>
        <v>Hand</v>
      </c>
      <c r="E234" s="2">
        <f>IFERROR(__xludf.DUMMYFUNCTION("""COMPUTED_VALUE"""),1.0)</f>
        <v>1</v>
      </c>
      <c r="F234" s="2" t="str">
        <f>IFERROR(__xludf.DUMMYFUNCTION("""COMPUTED_VALUE""")," ++Can summon a chaotic shadow gnome to battle.")</f>
        <v> ++Can summon a chaotic shadow gnome to battle.</v>
      </c>
      <c r="G234" s="2">
        <f>IFERROR(__xludf.DUMMYFUNCTION("""COMPUTED_VALUE"""),0.0)</f>
        <v>0</v>
      </c>
      <c r="H234" s="2"/>
      <c r="I234" s="2"/>
      <c r="J234" s="2"/>
      <c r="K234" s="2"/>
      <c r="L234" s="2"/>
      <c r="M234" s="2"/>
      <c r="N234" s="2"/>
      <c r="O234" s="2"/>
      <c r="P234" s="2"/>
      <c r="Q234" s="2"/>
      <c r="R234" s="2"/>
      <c r="S234" s="2"/>
      <c r="T234" s="2"/>
      <c r="U234" s="2"/>
      <c r="V234" s="2"/>
      <c r="W234" s="2"/>
      <c r="X234" s="2"/>
      <c r="Y234" s="2"/>
      <c r="Z234" s="2"/>
    </row>
    <row r="235">
      <c r="A235" s="2" t="str">
        <f>IFERROR(__xludf.DUMMYFUNCTION("""COMPUTED_VALUE"""),"Shadow Kings Sword")</f>
        <v>Shadow Kings Sword</v>
      </c>
      <c r="B235" s="2"/>
      <c r="C235" s="2" t="str">
        <f>IFERROR(__xludf.DUMMYFUNCTION("""COMPUTED_VALUE"""),"Sword")</f>
        <v>Sword</v>
      </c>
      <c r="D235" s="2" t="str">
        <f>IFERROR(__xludf.DUMMYFUNCTION("""COMPUTED_VALUE"""),"Hand")</f>
        <v>Hand</v>
      </c>
      <c r="E235" s="2">
        <f>IFERROR(__xludf.DUMMYFUNCTION("""COMPUTED_VALUE"""),400.0)</f>
        <v>400</v>
      </c>
      <c r="F235" s="2" t="str">
        <f>IFERROR(__xludf.DUMMYFUNCTION("""COMPUTED_VALUE"""),"DMG: +10000, Dark DMG: +5000, Chaos DMG: +5000")</f>
        <v>DMG: +10000, Dark DMG: +5000, Chaos DMG: +5000</v>
      </c>
      <c r="G235" s="2">
        <f>IFERROR(__xludf.DUMMYFUNCTION("""COMPUTED_VALUE"""),7800000.0)</f>
        <v>7800000</v>
      </c>
      <c r="H235" s="2"/>
      <c r="I235" s="2"/>
      <c r="J235" s="2"/>
      <c r="K235" s="2"/>
      <c r="L235" s="2"/>
      <c r="M235" s="2"/>
      <c r="N235" s="2"/>
      <c r="O235" s="2"/>
      <c r="P235" s="2"/>
      <c r="Q235" s="2"/>
      <c r="R235" s="2"/>
      <c r="S235" s="2"/>
      <c r="T235" s="2"/>
      <c r="U235" s="2"/>
      <c r="V235" s="2"/>
      <c r="W235" s="2"/>
      <c r="X235" s="2"/>
      <c r="Y235" s="2"/>
      <c r="Z235" s="2"/>
    </row>
    <row r="236">
      <c r="A236" s="2" t="str">
        <f>IFERROR(__xludf.DUMMYFUNCTION("""COMPUTED_VALUE"""),"Shield of Guarding Smite")</f>
        <v>Shield of Guarding Smite</v>
      </c>
      <c r="B236" s="2"/>
      <c r="C236" s="2" t="str">
        <f>IFERROR(__xludf.DUMMYFUNCTION("""COMPUTED_VALUE"""),"Towershield")</f>
        <v>Towershield</v>
      </c>
      <c r="D236" s="2" t="str">
        <f>IFERROR(__xludf.DUMMYFUNCTION("""COMPUTED_VALUE"""),"Hand")</f>
        <v>Hand</v>
      </c>
      <c r="E236" s="2">
        <f>IFERROR(__xludf.DUMMYFUNCTION("""COMPUTED_VALUE"""),2000.0)</f>
        <v>2000</v>
      </c>
      <c r="F236" s="2" t="str">
        <f>IFERROR(__xludf.DUMMYFUNCTION("""COMPUTED_VALUE"""),"DEF: +100000 ++75% chance to melt an enemies weapon that dealt damage to you. +-Cannot be duplicated")</f>
        <v>DEF: +100000 ++75% chance to melt an enemies weapon that dealt damage to you. +-Cannot be duplicated</v>
      </c>
      <c r="G236" s="2">
        <f>IFERROR(__xludf.DUMMYFUNCTION("""COMPUTED_VALUE"""),1.99E8)</f>
        <v>199000000</v>
      </c>
      <c r="H236" s="2"/>
      <c r="I236" s="2"/>
      <c r="J236" s="2"/>
      <c r="K236" s="2"/>
      <c r="L236" s="2"/>
      <c r="M236" s="2"/>
      <c r="N236" s="2"/>
      <c r="O236" s="2"/>
      <c r="P236" s="2"/>
      <c r="Q236" s="2"/>
      <c r="R236" s="2"/>
      <c r="S236" s="2"/>
      <c r="T236" s="2"/>
      <c r="U236" s="2"/>
      <c r="V236" s="2"/>
      <c r="W236" s="2"/>
      <c r="X236" s="2"/>
      <c r="Y236" s="2"/>
      <c r="Z236" s="2"/>
    </row>
    <row r="237">
      <c r="A237" s="2" t="str">
        <f>IFERROR(__xludf.DUMMYFUNCTION("""COMPUTED_VALUE"""),"Shield of Targeting")</f>
        <v>Shield of Targeting</v>
      </c>
      <c r="B237" s="2"/>
      <c r="C237" s="2" t="str">
        <f>IFERROR(__xludf.DUMMYFUNCTION("""COMPUTED_VALUE"""),"Buckler")</f>
        <v>Buckler</v>
      </c>
      <c r="D237" s="2" t="str">
        <f>IFERROR(__xludf.DUMMYFUNCTION("""COMPUTED_VALUE"""),"Hand")</f>
        <v>Hand</v>
      </c>
      <c r="E237" s="2">
        <f>IFERROR(__xludf.DUMMYFUNCTION("""COMPUTED_VALUE"""),20.0)</f>
        <v>20</v>
      </c>
      <c r="F237" s="2" t="str">
        <f>IFERROR(__xludf.DUMMYFUNCTION("""COMPUTED_VALUE"""),"DEF: +1000 ++Target me you B**** - enemies will automatically target you no matter, Use intimidation for this item effect.")</f>
        <v>DEF: +1000 ++Target me you B**** - enemies will automatically target you no matter, Use intimidation for this item effect.</v>
      </c>
      <c r="G237" s="2">
        <f>IFERROR(__xludf.DUMMYFUNCTION("""COMPUTED_VALUE"""),10000.0)</f>
        <v>10000</v>
      </c>
      <c r="H237" s="2"/>
      <c r="I237" s="2"/>
      <c r="J237" s="2"/>
      <c r="K237" s="2"/>
      <c r="L237" s="2"/>
      <c r="M237" s="2"/>
      <c r="N237" s="2"/>
      <c r="O237" s="2"/>
      <c r="P237" s="2"/>
      <c r="Q237" s="2"/>
      <c r="R237" s="2"/>
      <c r="S237" s="2"/>
      <c r="T237" s="2"/>
      <c r="U237" s="2"/>
      <c r="V237" s="2"/>
      <c r="W237" s="2"/>
      <c r="X237" s="2"/>
      <c r="Y237" s="2"/>
      <c r="Z237" s="2"/>
    </row>
    <row r="238">
      <c r="A238" s="2" t="str">
        <f>IFERROR(__xludf.DUMMYFUNCTION("""COMPUTED_VALUE"""),"Shining Katana")</f>
        <v>Shining Katana</v>
      </c>
      <c r="B238" s="2"/>
      <c r="C238" s="2"/>
      <c r="D238" s="2" t="str">
        <f>IFERROR(__xludf.DUMMYFUNCTION("""COMPUTED_VALUE"""),"Hand")</f>
        <v>Hand</v>
      </c>
      <c r="E238" s="2">
        <f>IFERROR(__xludf.DUMMYFUNCTION("""COMPUTED_VALUE"""),200.0)</f>
        <v>200</v>
      </c>
      <c r="F238" s="2" t="str">
        <f>IFERROR(__xludf.DUMMYFUNCTION("""COMPUTED_VALUE"""),"DMG: +10000 ++++500 bleeding damage p/r.")</f>
        <v>DMG: +10000 ++++500 bleeding damage p/r.</v>
      </c>
      <c r="G238" s="2">
        <f>IFERROR(__xludf.DUMMYFUNCTION("""COMPUTED_VALUE"""),1900000.0)</f>
        <v>1900000</v>
      </c>
      <c r="H238" s="2"/>
      <c r="I238" s="2"/>
      <c r="J238" s="2"/>
      <c r="K238" s="2"/>
      <c r="L238" s="2"/>
      <c r="M238" s="2"/>
      <c r="N238" s="2"/>
      <c r="O238" s="2"/>
      <c r="P238" s="2"/>
      <c r="Q238" s="2"/>
      <c r="R238" s="2"/>
      <c r="S238" s="2"/>
      <c r="T238" s="2"/>
      <c r="U238" s="2"/>
      <c r="V238" s="2"/>
      <c r="W238" s="2"/>
      <c r="X238" s="2"/>
      <c r="Y238" s="2"/>
      <c r="Z238" s="2"/>
    </row>
    <row r="239">
      <c r="A239" s="2" t="str">
        <f>IFERROR(__xludf.DUMMYFUNCTION("""COMPUTED_VALUE"""),"Shoes of Metal Harmony's")</f>
        <v>Shoes of Metal Harmony's</v>
      </c>
      <c r="B239" s="2"/>
      <c r="C239" s="2"/>
      <c r="D239" s="2" t="str">
        <f>IFERROR(__xludf.DUMMYFUNCTION("""COMPUTED_VALUE"""),"Feet")</f>
        <v>Feet</v>
      </c>
      <c r="E239" s="2">
        <f>IFERROR(__xludf.DUMMYFUNCTION("""COMPUTED_VALUE"""),200.0)</f>
        <v>200</v>
      </c>
      <c r="F239" s="2" t="str">
        <f>IFERROR(__xludf.DUMMYFUNCTION("""COMPUTED_VALUE"""),"DEF: +10000 ++When dealing damage with an instrument you will regain hp equal to the damage you caused.")</f>
        <v>DEF: +10000 ++When dealing damage with an instrument you will regain hp equal to the damage you caused.</v>
      </c>
      <c r="G239" s="2">
        <f>IFERROR(__xludf.DUMMYFUNCTION("""COMPUTED_VALUE"""),1900000.0)</f>
        <v>1900000</v>
      </c>
      <c r="H239" s="2"/>
      <c r="I239" s="2"/>
      <c r="J239" s="2"/>
      <c r="K239" s="2"/>
      <c r="L239" s="2"/>
      <c r="M239" s="2"/>
      <c r="N239" s="2"/>
      <c r="O239" s="2"/>
      <c r="P239" s="2"/>
      <c r="Q239" s="2"/>
      <c r="R239" s="2"/>
      <c r="S239" s="2"/>
      <c r="T239" s="2"/>
      <c r="U239" s="2"/>
      <c r="V239" s="2"/>
      <c r="W239" s="2"/>
      <c r="X239" s="2"/>
      <c r="Y239" s="2"/>
      <c r="Z239" s="2"/>
    </row>
    <row r="240">
      <c r="A240" s="2" t="str">
        <f>IFERROR(__xludf.DUMMYFUNCTION("""COMPUTED_VALUE"""),"Shoes of Water Walking")</f>
        <v>Shoes of Water Walking</v>
      </c>
      <c r="B240" s="2"/>
      <c r="C240" s="2"/>
      <c r="D240" s="2" t="str">
        <f>IFERROR(__xludf.DUMMYFUNCTION("""COMPUTED_VALUE"""),"Feet")</f>
        <v>Feet</v>
      </c>
      <c r="E240" s="2">
        <f>IFERROR(__xludf.DUMMYFUNCTION("""COMPUTED_VALUE"""),200.0)</f>
        <v>200</v>
      </c>
      <c r="F240" s="2" t="str">
        <f>IFERROR(__xludf.DUMMYFUNCTION("""COMPUTED_VALUE"""),"DEF: +5000, Water DEF: +5000 ++All water damage can now be any Element of choosing (this will still be counted as water damage for additional buffs).")</f>
        <v>DEF: +5000, Water DEF: +5000 ++All water damage can now be any Element of choosing (this will still be counted as water damage for additional buffs).</v>
      </c>
      <c r="G240" s="2">
        <f>IFERROR(__xludf.DUMMYFUNCTION("""COMPUTED_VALUE"""),1900000.0)</f>
        <v>1900000</v>
      </c>
      <c r="H240" s="2"/>
      <c r="I240" s="2"/>
      <c r="J240" s="2"/>
      <c r="K240" s="2"/>
      <c r="L240" s="2"/>
      <c r="M240" s="2"/>
      <c r="N240" s="2"/>
      <c r="O240" s="2"/>
      <c r="P240" s="2"/>
      <c r="Q240" s="2"/>
      <c r="R240" s="2"/>
      <c r="S240" s="2"/>
      <c r="T240" s="2"/>
      <c r="U240" s="2"/>
      <c r="V240" s="2"/>
      <c r="W240" s="2"/>
      <c r="X240" s="2"/>
      <c r="Y240" s="2"/>
      <c r="Z240" s="2"/>
    </row>
    <row r="241">
      <c r="A241" s="2" t="str">
        <f>IFERROR(__xludf.DUMMYFUNCTION("""COMPUTED_VALUE"""),"Short Spear")</f>
        <v>Short Spear</v>
      </c>
      <c r="B241" s="2"/>
      <c r="C241" s="2" t="str">
        <f>IFERROR(__xludf.DUMMYFUNCTION("""COMPUTED_VALUE"""),"Spear")</f>
        <v>Spear</v>
      </c>
      <c r="D241" s="2" t="str">
        <f>IFERROR(__xludf.DUMMYFUNCTION("""COMPUTED_VALUE"""),"Hand")</f>
        <v>Hand</v>
      </c>
      <c r="E241" s="2">
        <f>IFERROR(__xludf.DUMMYFUNCTION("""COMPUTED_VALUE"""),1.0)</f>
        <v>1</v>
      </c>
      <c r="F241" s="2" t="str">
        <f>IFERROR(__xludf.DUMMYFUNCTION("""COMPUTED_VALUE"""),"DMG: +250")</f>
        <v>DMG: +250</v>
      </c>
      <c r="G241" s="2">
        <f>IFERROR(__xludf.DUMMYFUNCTION("""COMPUTED_VALUE"""),0.0)</f>
        <v>0</v>
      </c>
      <c r="H241" s="2"/>
      <c r="I241" s="2"/>
      <c r="J241" s="2"/>
      <c r="K241" s="2"/>
      <c r="L241" s="2"/>
      <c r="M241" s="2"/>
      <c r="N241" s="2"/>
      <c r="O241" s="2"/>
      <c r="P241" s="2"/>
      <c r="Q241" s="2"/>
      <c r="R241" s="2"/>
      <c r="S241" s="2"/>
      <c r="T241" s="2"/>
      <c r="U241" s="2"/>
      <c r="V241" s="2"/>
      <c r="W241" s="2"/>
      <c r="X241" s="2"/>
      <c r="Y241" s="2"/>
      <c r="Z241" s="2"/>
    </row>
    <row r="242">
      <c r="A242" s="2" t="str">
        <f>IFERROR(__xludf.DUMMYFUNCTION("""COMPUTED_VALUE"""),"Shuriken")</f>
        <v>Shuriken</v>
      </c>
      <c r="B242" s="2"/>
      <c r="C242" s="2" t="str">
        <f>IFERROR(__xludf.DUMMYFUNCTION("""COMPUTED_VALUE"""),"Boomerang")</f>
        <v>Boomerang</v>
      </c>
      <c r="D242" s="2" t="str">
        <f>IFERROR(__xludf.DUMMYFUNCTION("""COMPUTED_VALUE"""),"Hand")</f>
        <v>Hand</v>
      </c>
      <c r="E242" s="2">
        <f>IFERROR(__xludf.DUMMYFUNCTION("""COMPUTED_VALUE"""),200.0)</f>
        <v>200</v>
      </c>
      <c r="F242" s="2" t="str">
        <f>IFERROR(__xludf.DUMMYFUNCTION("""COMPUTED_VALUE"""),"DMG: +5000, Blood DMG: +5000 ++Will return to you when thrown.")</f>
        <v>DMG: +5000, Blood DMG: +5000 ++Will return to you when thrown.</v>
      </c>
      <c r="G242" s="2">
        <f>IFERROR(__xludf.DUMMYFUNCTION("""COMPUTED_VALUE"""),1900000.0)</f>
        <v>1900000</v>
      </c>
      <c r="H242" s="2"/>
      <c r="I242" s="2"/>
      <c r="J242" s="2"/>
      <c r="K242" s="2"/>
      <c r="L242" s="2"/>
      <c r="M242" s="2"/>
      <c r="N242" s="2"/>
      <c r="O242" s="2"/>
      <c r="P242" s="2"/>
      <c r="Q242" s="2"/>
      <c r="R242" s="2"/>
      <c r="S242" s="2"/>
      <c r="T242" s="2"/>
      <c r="U242" s="2"/>
      <c r="V242" s="2"/>
      <c r="W242" s="2"/>
      <c r="X242" s="2"/>
      <c r="Y242" s="2"/>
      <c r="Z242" s="2"/>
    </row>
    <row r="243">
      <c r="A243" s="2" t="str">
        <f>IFERROR(__xludf.DUMMYFUNCTION("""COMPUTED_VALUE"""),"Shuttering Cloak")</f>
        <v>Shuttering Cloak</v>
      </c>
      <c r="B243" s="2"/>
      <c r="C243" s="2"/>
      <c r="D243" s="2" t="str">
        <f>IFERROR(__xludf.DUMMYFUNCTION("""COMPUTED_VALUE"""),"Torso")</f>
        <v>Torso</v>
      </c>
      <c r="E243" s="2">
        <f>IFERROR(__xludf.DUMMYFUNCTION("""COMPUTED_VALUE"""),1.0)</f>
        <v>1</v>
      </c>
      <c r="F243" s="2" t="str">
        <f>IFERROR(__xludf.DUMMYFUNCTION("""COMPUTED_VALUE""")," ++Plus 10 Evasion and Mobility, +-You Cannot be unaffected by spells or attacks. +-Can only equip one")</f>
        <v> ++Plus 10 Evasion and Mobility, +-You Cannot be unaffected by spells or attacks. +-Can only equip one</v>
      </c>
      <c r="G243" s="2">
        <f>IFERROR(__xludf.DUMMYFUNCTION("""COMPUTED_VALUE"""),0.0)</f>
        <v>0</v>
      </c>
      <c r="H243" s="2"/>
      <c r="I243" s="2"/>
      <c r="J243" s="2"/>
      <c r="K243" s="2"/>
      <c r="L243" s="2"/>
      <c r="M243" s="2"/>
      <c r="N243" s="2"/>
      <c r="O243" s="2"/>
      <c r="P243" s="2"/>
      <c r="Q243" s="2"/>
      <c r="R243" s="2"/>
      <c r="S243" s="2"/>
      <c r="T243" s="2"/>
      <c r="U243" s="2"/>
      <c r="V243" s="2"/>
      <c r="W243" s="2"/>
      <c r="X243" s="2"/>
      <c r="Y243" s="2"/>
      <c r="Z243" s="2"/>
    </row>
    <row r="244">
      <c r="A244" s="2" t="str">
        <f>IFERROR(__xludf.DUMMYFUNCTION("""COMPUTED_VALUE"""),"Silver Armor")</f>
        <v>Silver Armor</v>
      </c>
      <c r="B244" s="2"/>
      <c r="C244" s="2"/>
      <c r="D244" s="2" t="str">
        <f>IFERROR(__xludf.DUMMYFUNCTION("""COMPUTED_VALUE"""),"Torso")</f>
        <v>Torso</v>
      </c>
      <c r="E244" s="2">
        <f>IFERROR(__xludf.DUMMYFUNCTION("""COMPUTED_VALUE"""),1.0)</f>
        <v>1</v>
      </c>
      <c r="F244" s="2" t="str">
        <f>IFERROR(__xludf.DUMMYFUNCTION("""COMPUTED_VALUE"""),"DEF: +30")</f>
        <v>DEF: +30</v>
      </c>
      <c r="G244" s="2">
        <f>IFERROR(__xludf.DUMMYFUNCTION("""COMPUTED_VALUE"""),0.0)</f>
        <v>0</v>
      </c>
      <c r="H244" s="2"/>
      <c r="I244" s="2"/>
      <c r="J244" s="2"/>
      <c r="K244" s="2"/>
      <c r="L244" s="2"/>
      <c r="M244" s="2"/>
      <c r="N244" s="2"/>
      <c r="O244" s="2"/>
      <c r="P244" s="2"/>
      <c r="Q244" s="2"/>
      <c r="R244" s="2"/>
      <c r="S244" s="2"/>
      <c r="T244" s="2"/>
      <c r="U244" s="2"/>
      <c r="V244" s="2"/>
      <c r="W244" s="2"/>
      <c r="X244" s="2"/>
      <c r="Y244" s="2"/>
      <c r="Z244" s="2"/>
    </row>
    <row r="245">
      <c r="A245" s="2" t="str">
        <f>IFERROR(__xludf.DUMMYFUNCTION("""COMPUTED_VALUE"""),"Silver Katana")</f>
        <v>Silver Katana</v>
      </c>
      <c r="B245" s="2"/>
      <c r="C245" s="2" t="str">
        <f>IFERROR(__xludf.DUMMYFUNCTION("""COMPUTED_VALUE"""),"Sword")</f>
        <v>Sword</v>
      </c>
      <c r="D245" s="2" t="str">
        <f>IFERROR(__xludf.DUMMYFUNCTION("""COMPUTED_VALUE"""),"Hand")</f>
        <v>Hand</v>
      </c>
      <c r="E245" s="2">
        <f>IFERROR(__xludf.DUMMYFUNCTION("""COMPUTED_VALUE"""),200.0)</f>
        <v>200</v>
      </c>
      <c r="F245" s="2" t="str">
        <f>IFERROR(__xludf.DUMMYFUNCTION("""COMPUTED_VALUE"""),"DMG: +10000 ++Causes Blindness 3")</f>
        <v>DMG: +10000 ++Causes Blindness 3</v>
      </c>
      <c r="G245" s="2">
        <f>IFERROR(__xludf.DUMMYFUNCTION("""COMPUTED_VALUE"""),1900000.0)</f>
        <v>1900000</v>
      </c>
      <c r="H245" s="2"/>
      <c r="I245" s="2"/>
      <c r="J245" s="2"/>
      <c r="K245" s="2"/>
      <c r="L245" s="2"/>
      <c r="M245" s="2"/>
      <c r="N245" s="2"/>
      <c r="O245" s="2"/>
      <c r="P245" s="2"/>
      <c r="Q245" s="2"/>
      <c r="R245" s="2"/>
      <c r="S245" s="2"/>
      <c r="T245" s="2"/>
      <c r="U245" s="2"/>
      <c r="V245" s="2"/>
      <c r="W245" s="2"/>
      <c r="X245" s="2"/>
      <c r="Y245" s="2"/>
      <c r="Z245" s="2"/>
    </row>
    <row r="246">
      <c r="A246" s="2" t="str">
        <f>IFERROR(__xludf.DUMMYFUNCTION("""COMPUTED_VALUE"""),"Silver Knife")</f>
        <v>Silver Knife</v>
      </c>
      <c r="B246" s="2"/>
      <c r="C246" s="2" t="str">
        <f>IFERROR(__xludf.DUMMYFUNCTION("""COMPUTED_VALUE"""),"Knife")</f>
        <v>Knife</v>
      </c>
      <c r="D246" s="2" t="str">
        <f>IFERROR(__xludf.DUMMYFUNCTION("""COMPUTED_VALUE"""),"Hand")</f>
        <v>Hand</v>
      </c>
      <c r="E246" s="2">
        <f>IFERROR(__xludf.DUMMYFUNCTION("""COMPUTED_VALUE"""),200.0)</f>
        <v>200</v>
      </c>
      <c r="F246" s="2" t="str">
        <f>IFERROR(__xludf.DUMMYFUNCTION("""COMPUTED_VALUE"""),"DMG: +10000")</f>
        <v>DMG: +10000</v>
      </c>
      <c r="G246" s="2">
        <f>IFERROR(__xludf.DUMMYFUNCTION("""COMPUTED_VALUE"""),1900000.0)</f>
        <v>1900000</v>
      </c>
      <c r="H246" s="2"/>
      <c r="I246" s="2"/>
      <c r="J246" s="2"/>
      <c r="K246" s="2"/>
      <c r="L246" s="2"/>
      <c r="M246" s="2"/>
      <c r="N246" s="2"/>
      <c r="O246" s="2"/>
      <c r="P246" s="2"/>
      <c r="Q246" s="2"/>
      <c r="R246" s="2"/>
      <c r="S246" s="2"/>
      <c r="T246" s="2"/>
      <c r="U246" s="2"/>
      <c r="V246" s="2"/>
      <c r="W246" s="2"/>
      <c r="X246" s="2"/>
      <c r="Y246" s="2"/>
      <c r="Z246" s="2"/>
    </row>
    <row r="247">
      <c r="A247" s="2" t="str">
        <f>IFERROR(__xludf.DUMMYFUNCTION("""COMPUTED_VALUE"""),"Skull Cleaver")</f>
        <v>Skull Cleaver</v>
      </c>
      <c r="B247" s="2"/>
      <c r="C247" s="2" t="str">
        <f>IFERROR(__xludf.DUMMYFUNCTION("""COMPUTED_VALUE"""),"Sword")</f>
        <v>Sword</v>
      </c>
      <c r="D247" s="2" t="str">
        <f>IFERROR(__xludf.DUMMYFUNCTION("""COMPUTED_VALUE"""),"Hand")</f>
        <v>Hand</v>
      </c>
      <c r="E247" s="2">
        <f>IFERROR(__xludf.DUMMYFUNCTION("""COMPUTED_VALUE"""),1000.0)</f>
        <v>1000</v>
      </c>
      <c r="F247" s="2" t="str">
        <f>IFERROR(__xludf.DUMMYFUNCTION("""COMPUTED_VALUE"""),"DMG: +30000, Dark DMG: +20000 ++75% Chance of instant death.")</f>
        <v>DMG: +30000, Dark DMG: +20000 ++75% Chance of instant death.</v>
      </c>
      <c r="G247" s="2">
        <f>IFERROR(__xludf.DUMMYFUNCTION("""COMPUTED_VALUE"""),4.95E7)</f>
        <v>49500000</v>
      </c>
      <c r="H247" s="2"/>
      <c r="I247" s="2"/>
      <c r="J247" s="2"/>
      <c r="K247" s="2"/>
      <c r="L247" s="2"/>
      <c r="M247" s="2"/>
      <c r="N247" s="2"/>
      <c r="O247" s="2"/>
      <c r="P247" s="2"/>
      <c r="Q247" s="2"/>
      <c r="R247" s="2"/>
      <c r="S247" s="2"/>
      <c r="T247" s="2"/>
      <c r="U247" s="2"/>
      <c r="V247" s="2"/>
      <c r="W247" s="2"/>
      <c r="X247" s="2"/>
      <c r="Y247" s="2"/>
      <c r="Z247" s="2"/>
    </row>
    <row r="248">
      <c r="A248" s="2" t="str">
        <f>IFERROR(__xludf.DUMMYFUNCTION("""COMPUTED_VALUE"""),"Skull of the many Kings")</f>
        <v>Skull of the many Kings</v>
      </c>
      <c r="B248" s="2"/>
      <c r="C248" s="2"/>
      <c r="D248" s="2" t="str">
        <f>IFERROR(__xludf.DUMMYFUNCTION("""COMPUTED_VALUE"""),"Head")</f>
        <v>Head</v>
      </c>
      <c r="E248" s="2">
        <f>IFERROR(__xludf.DUMMYFUNCTION("""COMPUTED_VALUE"""),1.0)</f>
        <v>1</v>
      </c>
      <c r="F248" s="2" t="str">
        <f>IFERROR(__xludf.DUMMYFUNCTION("""COMPUTED_VALUE"""),"DEF: +300 ++Immunity to all dark damage")</f>
        <v>DEF: +300 ++Immunity to all dark damage</v>
      </c>
      <c r="G248" s="2">
        <f>IFERROR(__xludf.DUMMYFUNCTION("""COMPUTED_VALUE"""),0.0)</f>
        <v>0</v>
      </c>
      <c r="H248" s="2"/>
      <c r="I248" s="2"/>
      <c r="J248" s="2"/>
      <c r="K248" s="2"/>
      <c r="L248" s="2"/>
      <c r="M248" s="2"/>
      <c r="N248" s="2"/>
      <c r="O248" s="2"/>
      <c r="P248" s="2"/>
      <c r="Q248" s="2"/>
      <c r="R248" s="2"/>
      <c r="S248" s="2"/>
      <c r="T248" s="2"/>
      <c r="U248" s="2"/>
      <c r="V248" s="2"/>
      <c r="W248" s="2"/>
      <c r="X248" s="2"/>
      <c r="Y248" s="2"/>
      <c r="Z248" s="2"/>
    </row>
    <row r="249">
      <c r="A249" s="2" t="str">
        <f>IFERROR(__xludf.DUMMYFUNCTION("""COMPUTED_VALUE"""),"Skull Ring")</f>
        <v>Skull Ring</v>
      </c>
      <c r="B249" s="2"/>
      <c r="C249" s="2"/>
      <c r="D249" s="2" t="str">
        <f>IFERROR(__xludf.DUMMYFUNCTION("""COMPUTED_VALUE"""),"Ring")</f>
        <v>Ring</v>
      </c>
      <c r="E249" s="2">
        <f>IFERROR(__xludf.DUMMYFUNCTION("""COMPUTED_VALUE"""),1.0)</f>
        <v>1</v>
      </c>
      <c r="F249" s="2" t="str">
        <f>IFERROR(__xludf.DUMMYFUNCTION("""COMPUTED_VALUE""")," ++Increase damage of all dark spells and weapons by X2")</f>
        <v> ++Increase damage of all dark spells and weapons by X2</v>
      </c>
      <c r="G249" s="2">
        <f>IFERROR(__xludf.DUMMYFUNCTION("""COMPUTED_VALUE"""),0.0)</f>
        <v>0</v>
      </c>
      <c r="H249" s="2"/>
      <c r="I249" s="2"/>
      <c r="J249" s="2"/>
      <c r="K249" s="2"/>
      <c r="L249" s="2"/>
      <c r="M249" s="2"/>
      <c r="N249" s="2"/>
      <c r="O249" s="2"/>
      <c r="P249" s="2"/>
      <c r="Q249" s="2"/>
      <c r="R249" s="2"/>
      <c r="S249" s="2"/>
      <c r="T249" s="2"/>
      <c r="U249" s="2"/>
      <c r="V249" s="2"/>
      <c r="W249" s="2"/>
      <c r="X249" s="2"/>
      <c r="Y249" s="2"/>
      <c r="Z249" s="2"/>
    </row>
    <row r="250">
      <c r="A250" s="2" t="str">
        <f>IFERROR(__xludf.DUMMYFUNCTION("""COMPUTED_VALUE"""),"Spear")</f>
        <v>Spear</v>
      </c>
      <c r="B250" s="2"/>
      <c r="C250" s="2" t="str">
        <f>IFERROR(__xludf.DUMMYFUNCTION("""COMPUTED_VALUE"""),"Spear")</f>
        <v>Spear</v>
      </c>
      <c r="D250" s="2" t="str">
        <f>IFERROR(__xludf.DUMMYFUNCTION("""COMPUTED_VALUE"""),"Hand")</f>
        <v>Hand</v>
      </c>
      <c r="E250" s="2">
        <f>IFERROR(__xludf.DUMMYFUNCTION("""COMPUTED_VALUE"""),1.0)</f>
        <v>1</v>
      </c>
      <c r="F250" s="2" t="str">
        <f>IFERROR(__xludf.DUMMYFUNCTION("""COMPUTED_VALUE"""),"DMG: +100")</f>
        <v>DMG: +100</v>
      </c>
      <c r="G250" s="2">
        <f>IFERROR(__xludf.DUMMYFUNCTION("""COMPUTED_VALUE"""),0.0)</f>
        <v>0</v>
      </c>
      <c r="H250" s="2"/>
      <c r="I250" s="2"/>
      <c r="J250" s="2"/>
      <c r="K250" s="2"/>
      <c r="L250" s="2"/>
      <c r="M250" s="2"/>
      <c r="N250" s="2"/>
      <c r="O250" s="2"/>
      <c r="P250" s="2"/>
      <c r="Q250" s="2"/>
      <c r="R250" s="2"/>
      <c r="S250" s="2"/>
      <c r="T250" s="2"/>
      <c r="U250" s="2"/>
      <c r="V250" s="2"/>
      <c r="W250" s="2"/>
      <c r="X250" s="2"/>
      <c r="Y250" s="2"/>
      <c r="Z250" s="2"/>
    </row>
    <row r="251">
      <c r="A251" s="2" t="str">
        <f>IFERROR(__xludf.DUMMYFUNCTION("""COMPUTED_VALUE"""),"Spear Of Assal ")</f>
        <v>Spear Of Assal </v>
      </c>
      <c r="B251" s="2" t="str">
        <f>IFERROR(__xludf.DUMMYFUNCTION("""COMPUTED_VALUE"""),"(Event Exclusive) Lugh's Spear he weilded in battle. The spear will always find its mark when the incantation Ibar is spoken by the user. ")</f>
        <v>(Event Exclusive) Lugh's Spear he weilded in battle. The spear will always find its mark when the incantation Ibar is spoken by the user. </v>
      </c>
      <c r="C251" s="2" t="str">
        <f>IFERROR(__xludf.DUMMYFUNCTION("""COMPUTED_VALUE"""),"Spear")</f>
        <v>Spear</v>
      </c>
      <c r="D251" s="2" t="str">
        <f>IFERROR(__xludf.DUMMYFUNCTION("""COMPUTED_VALUE"""),"Hand")</f>
        <v>Hand</v>
      </c>
      <c r="E251" s="2">
        <f>IFERROR(__xludf.DUMMYFUNCTION("""COMPUTED_VALUE"""),200.0)</f>
        <v>200</v>
      </c>
      <c r="F251" s="2" t="str">
        <f>IFERROR(__xludf.DUMMYFUNCTION("""COMPUTED_VALUE"""),"DMG: +50000, Fire DMG: +50000, Celestial DMG: +50000 ++12,000 celestial and fire damage for 3 rounds. +-Cannot be forged +-Cannot be duplicated +-Cannot be confiscated. ++Ignores evasion, ++Will always return when thrown.")</f>
        <v>DMG: +50000, Fire DMG: +50000, Celestial DMG: +50000 ++12,000 celestial and fire damage for 3 rounds. +-Cannot be forged +-Cannot be duplicated +-Cannot be confiscated. ++Ignores evasion, ++Will always return when thrown.</v>
      </c>
      <c r="G251" s="2">
        <f>IFERROR(__xludf.DUMMYFUNCTION("""COMPUTED_VALUE"""),4.485E8)</f>
        <v>448500000</v>
      </c>
      <c r="H251" s="2"/>
      <c r="I251" s="2"/>
      <c r="J251" s="2"/>
      <c r="K251" s="2"/>
      <c r="L251" s="2"/>
      <c r="M251" s="2"/>
      <c r="N251" s="2"/>
      <c r="O251" s="2"/>
      <c r="P251" s="2"/>
      <c r="Q251" s="2"/>
      <c r="R251" s="2"/>
      <c r="S251" s="2"/>
      <c r="T251" s="2"/>
      <c r="U251" s="2"/>
      <c r="V251" s="2"/>
      <c r="W251" s="2"/>
      <c r="X251" s="2"/>
      <c r="Y251" s="2"/>
      <c r="Z251" s="2"/>
    </row>
    <row r="252">
      <c r="A252" s="2" t="str">
        <f>IFERROR(__xludf.DUMMYFUNCTION("""COMPUTED_VALUE"""),"Spiked Armor")</f>
        <v>Spiked Armor</v>
      </c>
      <c r="B252" s="2"/>
      <c r="C252" s="2"/>
      <c r="D252" s="2" t="str">
        <f>IFERROR(__xludf.DUMMYFUNCTION("""COMPUTED_VALUE"""),"Torso")</f>
        <v>Torso</v>
      </c>
      <c r="E252" s="2">
        <f>IFERROR(__xludf.DUMMYFUNCTION("""COMPUTED_VALUE"""),1.0)</f>
        <v>1</v>
      </c>
      <c r="F252" s="2" t="str">
        <f>IFERROR(__xludf.DUMMYFUNCTION("""COMPUTED_VALUE"""),"DEF: +100 ++Used for both offense and defense. ++Enemies take half the damage they caused, when they attack you.")</f>
        <v>DEF: +100 ++Used for both offense and defense. ++Enemies take half the damage they caused, when they attack you.</v>
      </c>
      <c r="G252" s="2">
        <f>IFERROR(__xludf.DUMMYFUNCTION("""COMPUTED_VALUE"""),0.0)</f>
        <v>0</v>
      </c>
      <c r="H252" s="2"/>
      <c r="I252" s="2"/>
      <c r="J252" s="2"/>
      <c r="K252" s="2"/>
      <c r="L252" s="2"/>
      <c r="M252" s="2"/>
      <c r="N252" s="2"/>
      <c r="O252" s="2"/>
      <c r="P252" s="2"/>
      <c r="Q252" s="2"/>
      <c r="R252" s="2"/>
      <c r="S252" s="2"/>
      <c r="T252" s="2"/>
      <c r="U252" s="2"/>
      <c r="V252" s="2"/>
      <c r="W252" s="2"/>
      <c r="X252" s="2"/>
      <c r="Y252" s="2"/>
      <c r="Z252" s="2"/>
    </row>
    <row r="253">
      <c r="A253" s="2" t="str">
        <f>IFERROR(__xludf.DUMMYFUNCTION("""COMPUTED_VALUE"""),"Spiny Shield")</f>
        <v>Spiny Shield</v>
      </c>
      <c r="B253" s="2"/>
      <c r="C253" s="2" t="str">
        <f>IFERROR(__xludf.DUMMYFUNCTION("""COMPUTED_VALUE"""),"Buckler")</f>
        <v>Buckler</v>
      </c>
      <c r="D253" s="2" t="str">
        <f>IFERROR(__xludf.DUMMYFUNCTION("""COMPUTED_VALUE"""),"Hand")</f>
        <v>Hand</v>
      </c>
      <c r="E253" s="2">
        <f>IFERROR(__xludf.DUMMYFUNCTION("""COMPUTED_VALUE"""),1.0)</f>
        <v>1</v>
      </c>
      <c r="F253" s="2" t="str">
        <f>IFERROR(__xludf.DUMMYFUNCTION("""COMPUTED_VALUE"""),"DEF: +170")</f>
        <v>DEF: +170</v>
      </c>
      <c r="G253" s="2">
        <f>IFERROR(__xludf.DUMMYFUNCTION("""COMPUTED_VALUE"""),0.0)</f>
        <v>0</v>
      </c>
      <c r="H253" s="2"/>
      <c r="I253" s="2"/>
      <c r="J253" s="2"/>
      <c r="K253" s="2"/>
      <c r="L253" s="2"/>
      <c r="M253" s="2"/>
      <c r="N253" s="2"/>
      <c r="O253" s="2"/>
      <c r="P253" s="2"/>
      <c r="Q253" s="2"/>
      <c r="R253" s="2"/>
      <c r="S253" s="2"/>
      <c r="T253" s="2"/>
      <c r="U253" s="2"/>
      <c r="V253" s="2"/>
      <c r="W253" s="2"/>
      <c r="X253" s="2"/>
      <c r="Y253" s="2"/>
      <c r="Z253" s="2"/>
    </row>
    <row r="254">
      <c r="A254" s="2" t="str">
        <f>IFERROR(__xludf.DUMMYFUNCTION("""COMPUTED_VALUE"""),"Spooky Branch Ring")</f>
        <v>Spooky Branch Ring</v>
      </c>
      <c r="B254" s="2" t="str">
        <f>IFERROR(__xludf.DUMMYFUNCTION("""COMPUTED_VALUE"""),"Halloween Exclusive")</f>
        <v>Halloween Exclusive</v>
      </c>
      <c r="C254" s="2"/>
      <c r="D254" s="2" t="str">
        <f>IFERROR(__xludf.DUMMYFUNCTION("""COMPUTED_VALUE"""),"Ring")</f>
        <v>Ring</v>
      </c>
      <c r="E254" s="2">
        <f>IFERROR(__xludf.DUMMYFUNCTION("""COMPUTED_VALUE"""),1.0)</f>
        <v>1</v>
      </c>
      <c r="F254" s="2" t="str">
        <f>IFERROR(__xludf.DUMMYFUNCTION("""COMPUTED_VALUE""")," ++Increase fire and dark damage by X2.")</f>
        <v> ++Increase fire and dark damage by X2.</v>
      </c>
      <c r="G254" s="2">
        <f>IFERROR(__xludf.DUMMYFUNCTION("""COMPUTED_VALUE"""),0.0)</f>
        <v>0</v>
      </c>
      <c r="H254" s="2"/>
      <c r="I254" s="2"/>
      <c r="J254" s="2"/>
      <c r="K254" s="2"/>
      <c r="L254" s="2"/>
      <c r="M254" s="2"/>
      <c r="N254" s="2"/>
      <c r="O254" s="2"/>
      <c r="P254" s="2"/>
      <c r="Q254" s="2"/>
      <c r="R254" s="2"/>
      <c r="S254" s="2"/>
      <c r="T254" s="2"/>
      <c r="U254" s="2"/>
      <c r="V254" s="2"/>
      <c r="W254" s="2"/>
      <c r="X254" s="2"/>
      <c r="Y254" s="2"/>
      <c r="Z254" s="2"/>
    </row>
    <row r="255">
      <c r="A255" s="2" t="str">
        <f>IFERROR(__xludf.DUMMYFUNCTION("""COMPUTED_VALUE"""),"Staff of Chaotic Shadows")</f>
        <v>Staff of Chaotic Shadows</v>
      </c>
      <c r="B255" s="2"/>
      <c r="C255" s="2" t="str">
        <f>IFERROR(__xludf.DUMMYFUNCTION("""COMPUTED_VALUE"""),"Staff")</f>
        <v>Staff</v>
      </c>
      <c r="D255" s="2" t="str">
        <f>IFERROR(__xludf.DUMMYFUNCTION("""COMPUTED_VALUE"""),"Hand")</f>
        <v>Hand</v>
      </c>
      <c r="E255" s="2">
        <f>IFERROR(__xludf.DUMMYFUNCTION("""COMPUTED_VALUE"""),1200.0)</f>
        <v>1200</v>
      </c>
      <c r="F255" s="2" t="str">
        <f>IFERROR(__xludf.DUMMYFUNCTION("""COMPUTED_VALUE"""),", Fire DMG: +20000, Dark DMG: +20000, Chaos DMG: +20000 ++damages all enemies. +-Cannot be forged.")</f>
        <v>, Fire DMG: +20000, Dark DMG: +20000, Chaos DMG: +20000 ++damages all enemies. +-Cannot be forged.</v>
      </c>
      <c r="G255" s="2">
        <f>IFERROR(__xludf.DUMMYFUNCTION("""COMPUTED_VALUE"""),7.14E7)</f>
        <v>71400000</v>
      </c>
      <c r="H255" s="2"/>
      <c r="I255" s="2"/>
      <c r="J255" s="2"/>
      <c r="K255" s="2"/>
      <c r="L255" s="2"/>
      <c r="M255" s="2"/>
      <c r="N255" s="2"/>
      <c r="O255" s="2"/>
      <c r="P255" s="2"/>
      <c r="Q255" s="2"/>
      <c r="R255" s="2"/>
      <c r="S255" s="2"/>
      <c r="T255" s="2"/>
      <c r="U255" s="2"/>
      <c r="V255" s="2"/>
      <c r="W255" s="2"/>
      <c r="X255" s="2"/>
      <c r="Y255" s="2"/>
      <c r="Z255" s="2"/>
    </row>
    <row r="256">
      <c r="A256" s="2" t="str">
        <f>IFERROR(__xludf.DUMMYFUNCTION("""COMPUTED_VALUE"""),"Staff of Crystals")</f>
        <v>Staff of Crystals</v>
      </c>
      <c r="B256" s="2"/>
      <c r="C256" s="2" t="str">
        <f>IFERROR(__xludf.DUMMYFUNCTION("""COMPUTED_VALUE"""),"Staff")</f>
        <v>Staff</v>
      </c>
      <c r="D256" s="2" t="str">
        <f>IFERROR(__xludf.DUMMYFUNCTION("""COMPUTED_VALUE"""),"Hand")</f>
        <v>Hand</v>
      </c>
      <c r="E256" s="2">
        <f>IFERROR(__xludf.DUMMYFUNCTION("""COMPUTED_VALUE"""),400.0)</f>
        <v>400</v>
      </c>
      <c r="F256" s="2" t="str">
        <f>IFERROR(__xludf.DUMMYFUNCTION("""COMPUTED_VALUE"""),", Earth DMG: +20000 ++When Equipped any damage dealt by a Crystal or Gem related weapon is X4. +-Cannot be duplicated.")</f>
        <v>, Earth DMG: +20000 ++When Equipped any damage dealt by a Crystal or Gem related weapon is X4. +-Cannot be duplicated.</v>
      </c>
      <c r="G256" s="2">
        <f>IFERROR(__xludf.DUMMYFUNCTION("""COMPUTED_VALUE"""),7800000.0)</f>
        <v>7800000</v>
      </c>
      <c r="H256" s="2"/>
      <c r="I256" s="2"/>
      <c r="J256" s="2"/>
      <c r="K256" s="2"/>
      <c r="L256" s="2"/>
      <c r="M256" s="2"/>
      <c r="N256" s="2"/>
      <c r="O256" s="2"/>
      <c r="P256" s="2"/>
      <c r="Q256" s="2"/>
      <c r="R256" s="2"/>
      <c r="S256" s="2"/>
      <c r="T256" s="2"/>
      <c r="U256" s="2"/>
      <c r="V256" s="2"/>
      <c r="W256" s="2"/>
      <c r="X256" s="2"/>
      <c r="Y256" s="2"/>
      <c r="Z256" s="2"/>
    </row>
    <row r="257">
      <c r="A257" s="2" t="str">
        <f>IFERROR(__xludf.DUMMYFUNCTION("""COMPUTED_VALUE"""),"Staff Of Heatmore")</f>
        <v>Staff Of Heatmore</v>
      </c>
      <c r="B257" s="2"/>
      <c r="C257" s="2" t="str">
        <f>IFERROR(__xludf.DUMMYFUNCTION("""COMPUTED_VALUE"""),"Staff")</f>
        <v>Staff</v>
      </c>
      <c r="D257" s="2" t="str">
        <f>IFERROR(__xludf.DUMMYFUNCTION("""COMPUTED_VALUE"""),"Hand")</f>
        <v>Hand</v>
      </c>
      <c r="E257" s="2">
        <f>IFERROR(__xludf.DUMMYFUNCTION("""COMPUTED_VALUE"""),1.0)</f>
        <v>1</v>
      </c>
      <c r="F257" s="2" t="str">
        <f>IFERROR(__xludf.DUMMYFUNCTION("""COMPUTED_VALUE""")," ++20,000 fire damage to all enemies, cannot avoid. 10,000sp")</f>
        <v> ++20,000 fire damage to all enemies, cannot avoid. 10,000sp</v>
      </c>
      <c r="G257" s="2">
        <f>IFERROR(__xludf.DUMMYFUNCTION("""COMPUTED_VALUE"""),0.0)</f>
        <v>0</v>
      </c>
      <c r="H257" s="2"/>
      <c r="I257" s="2"/>
      <c r="J257" s="2"/>
      <c r="K257" s="2"/>
      <c r="L257" s="2"/>
      <c r="M257" s="2"/>
      <c r="N257" s="2"/>
      <c r="O257" s="2"/>
      <c r="P257" s="2"/>
      <c r="Q257" s="2"/>
      <c r="R257" s="2"/>
      <c r="S257" s="2"/>
      <c r="T257" s="2"/>
      <c r="U257" s="2"/>
      <c r="V257" s="2"/>
      <c r="W257" s="2"/>
      <c r="X257" s="2"/>
      <c r="Y257" s="2"/>
      <c r="Z257" s="2"/>
    </row>
    <row r="258">
      <c r="A258" s="2" t="str">
        <f>IFERROR(__xludf.DUMMYFUNCTION("""COMPUTED_VALUE"""),"Staff of Shadows")</f>
        <v>Staff of Shadows</v>
      </c>
      <c r="B258" s="2"/>
      <c r="C258" s="2" t="str">
        <f>IFERROR(__xludf.DUMMYFUNCTION("""COMPUTED_VALUE"""),"Staff")</f>
        <v>Staff</v>
      </c>
      <c r="D258" s="2" t="str">
        <f>IFERROR(__xludf.DUMMYFUNCTION("""COMPUTED_VALUE"""),"Hand")</f>
        <v>Hand</v>
      </c>
      <c r="E258" s="2">
        <f>IFERROR(__xludf.DUMMYFUNCTION("""COMPUTED_VALUE"""),1.0)</f>
        <v>1</v>
      </c>
      <c r="F258" s="2" t="str">
        <f>IFERROR(__xludf.DUMMYFUNCTION("""COMPUTED_VALUE""")," ++You are invisible and silent so long as you don't attack. You cannot be attacked while invisible. 200SP")</f>
        <v> ++You are invisible and silent so long as you don't attack. You cannot be attacked while invisible. 200SP</v>
      </c>
      <c r="G258" s="2">
        <f>IFERROR(__xludf.DUMMYFUNCTION("""COMPUTED_VALUE"""),0.0)</f>
        <v>0</v>
      </c>
      <c r="H258" s="2"/>
      <c r="I258" s="2"/>
      <c r="J258" s="2"/>
      <c r="K258" s="2"/>
      <c r="L258" s="2"/>
      <c r="M258" s="2"/>
      <c r="N258" s="2"/>
      <c r="O258" s="2"/>
      <c r="P258" s="2"/>
      <c r="Q258" s="2"/>
      <c r="R258" s="2"/>
      <c r="S258" s="2"/>
      <c r="T258" s="2"/>
      <c r="U258" s="2"/>
      <c r="V258" s="2"/>
      <c r="W258" s="2"/>
      <c r="X258" s="2"/>
      <c r="Y258" s="2"/>
      <c r="Z258" s="2"/>
    </row>
    <row r="259">
      <c r="A259" s="2" t="str">
        <f>IFERROR(__xludf.DUMMYFUNCTION("""COMPUTED_VALUE"""),"Staff Of Suffering")</f>
        <v>Staff Of Suffering</v>
      </c>
      <c r="B259" s="2"/>
      <c r="C259" s="2" t="str">
        <f>IFERROR(__xludf.DUMMYFUNCTION("""COMPUTED_VALUE"""),"Staff")</f>
        <v>Staff</v>
      </c>
      <c r="D259" s="2" t="str">
        <f>IFERROR(__xludf.DUMMYFUNCTION("""COMPUTED_VALUE"""),"Hand")</f>
        <v>Hand</v>
      </c>
      <c r="E259" s="2">
        <f>IFERROR(__xludf.DUMMYFUNCTION("""COMPUTED_VALUE"""),1.0)</f>
        <v>1</v>
      </c>
      <c r="F259" s="2" t="str">
        <f>IFERROR(__xludf.DUMMYFUNCTION("""COMPUTED_VALUE""")," ++Casts a chaotic aura around 1 target dealing 1000 unblockable damage to them each time they cast a spell.")</f>
        <v> ++Casts a chaotic aura around 1 target dealing 1000 unblockable damage to them each time they cast a spell.</v>
      </c>
      <c r="G259" s="2">
        <f>IFERROR(__xludf.DUMMYFUNCTION("""COMPUTED_VALUE"""),0.0)</f>
        <v>0</v>
      </c>
      <c r="H259" s="2"/>
      <c r="I259" s="2"/>
      <c r="J259" s="2"/>
      <c r="K259" s="2"/>
      <c r="L259" s="2"/>
      <c r="M259" s="2"/>
      <c r="N259" s="2"/>
      <c r="O259" s="2"/>
      <c r="P259" s="2"/>
      <c r="Q259" s="2"/>
      <c r="R259" s="2"/>
      <c r="S259" s="2"/>
      <c r="T259" s="2"/>
      <c r="U259" s="2"/>
      <c r="V259" s="2"/>
      <c r="W259" s="2"/>
      <c r="X259" s="2"/>
      <c r="Y259" s="2"/>
      <c r="Z259" s="2"/>
    </row>
    <row r="260">
      <c r="A260" s="2" t="str">
        <f>IFERROR(__xludf.DUMMYFUNCTION("""COMPUTED_VALUE"""),"Staff of Targeting")</f>
        <v>Staff of Targeting</v>
      </c>
      <c r="B260" s="2"/>
      <c r="C260" s="2" t="str">
        <f>IFERROR(__xludf.DUMMYFUNCTION("""COMPUTED_VALUE"""),"Staff")</f>
        <v>Staff</v>
      </c>
      <c r="D260" s="2" t="str">
        <f>IFERROR(__xludf.DUMMYFUNCTION("""COMPUTED_VALUE"""),"Hand")</f>
        <v>Hand</v>
      </c>
      <c r="E260" s="2">
        <f>IFERROR(__xludf.DUMMYFUNCTION("""COMPUTED_VALUE"""),1.0)</f>
        <v>1</v>
      </c>
      <c r="F260" s="2" t="str">
        <f>IFERROR(__xludf.DUMMYFUNCTION("""COMPUTED_VALUE""")," ++When you complain about getting targeted this staff will deal Unblockable 1,000,000 dmg to every player in the battle. +-Cannot resist or be immune to.")</f>
        <v> ++When you complain about getting targeted this staff will deal Unblockable 1,000,000 dmg to every player in the battle. +-Cannot resist or be immune to.</v>
      </c>
      <c r="G260" s="2">
        <f>IFERROR(__xludf.DUMMYFUNCTION("""COMPUTED_VALUE"""),0.0)</f>
        <v>0</v>
      </c>
      <c r="H260" s="2"/>
      <c r="I260" s="2"/>
      <c r="J260" s="2"/>
      <c r="K260" s="2"/>
      <c r="L260" s="2"/>
      <c r="M260" s="2"/>
      <c r="N260" s="2"/>
      <c r="O260" s="2"/>
      <c r="P260" s="2"/>
      <c r="Q260" s="2"/>
      <c r="R260" s="2"/>
      <c r="S260" s="2"/>
      <c r="T260" s="2"/>
      <c r="U260" s="2"/>
      <c r="V260" s="2"/>
      <c r="W260" s="2"/>
      <c r="X260" s="2"/>
      <c r="Y260" s="2"/>
      <c r="Z260" s="2"/>
    </row>
    <row r="261">
      <c r="A261" s="2" t="str">
        <f>IFERROR(__xludf.DUMMYFUNCTION("""COMPUTED_VALUE"""),"Staff of Waves")</f>
        <v>Staff of Waves</v>
      </c>
      <c r="B261" s="2"/>
      <c r="C261" s="2" t="str">
        <f>IFERROR(__xludf.DUMMYFUNCTION("""COMPUTED_VALUE"""),"Staff")</f>
        <v>Staff</v>
      </c>
      <c r="D261" s="2" t="str">
        <f>IFERROR(__xludf.DUMMYFUNCTION("""COMPUTED_VALUE"""),"Hand")</f>
        <v>Hand</v>
      </c>
      <c r="E261" s="2">
        <f>IFERROR(__xludf.DUMMYFUNCTION("""COMPUTED_VALUE"""),1.0)</f>
        <v>1</v>
      </c>
      <c r="F261" s="2" t="str">
        <f>IFERROR(__xludf.DUMMYFUNCTION("""COMPUTED_VALUE""")," ++Casts the Spell Tsunami as if you would know it.")</f>
        <v> ++Casts the Spell Tsunami as if you would know it.</v>
      </c>
      <c r="G261" s="2">
        <f>IFERROR(__xludf.DUMMYFUNCTION("""COMPUTED_VALUE"""),0.0)</f>
        <v>0</v>
      </c>
      <c r="H261" s="2"/>
      <c r="I261" s="2"/>
      <c r="J261" s="2"/>
      <c r="K261" s="2"/>
      <c r="L261" s="2"/>
      <c r="M261" s="2"/>
      <c r="N261" s="2"/>
      <c r="O261" s="2"/>
      <c r="P261" s="2"/>
      <c r="Q261" s="2"/>
      <c r="R261" s="2"/>
      <c r="S261" s="2"/>
      <c r="T261" s="2"/>
      <c r="U261" s="2"/>
      <c r="V261" s="2"/>
      <c r="W261" s="2"/>
      <c r="X261" s="2"/>
      <c r="Y261" s="2"/>
      <c r="Z261" s="2"/>
    </row>
    <row r="262">
      <c r="A262" s="2" t="str">
        <f>IFERROR(__xludf.DUMMYFUNCTION("""COMPUTED_VALUE"""),"Guard Helmet")</f>
        <v>Guard Helmet</v>
      </c>
      <c r="B262" s="2" t="str">
        <f>IFERROR(__xludf.DUMMYFUNCTION("""COMPUTED_VALUE"""),"Quest Item")</f>
        <v>Quest Item</v>
      </c>
      <c r="C262" s="2"/>
      <c r="D262" s="2" t="str">
        <f>IFERROR(__xludf.DUMMYFUNCTION("""COMPUTED_VALUE"""),"Head")</f>
        <v>Head</v>
      </c>
      <c r="E262" s="2">
        <f>IFERROR(__xludf.DUMMYFUNCTION("""COMPUTED_VALUE"""),200.0)</f>
        <v>200</v>
      </c>
      <c r="F262" s="2" t="str">
        <f>IFERROR(__xludf.DUMMYFUNCTION("""COMPUTED_VALUE"""),"DEF: +25000, Light DEF: +25000, Celestial DEF: +25000")</f>
        <v>DEF: +25000, Light DEF: +25000, Celestial DEF: +25000</v>
      </c>
      <c r="G262" s="2">
        <f>IFERROR(__xludf.DUMMYFUNCTION("""COMPUTED_VALUE"""),1.1175E8)</f>
        <v>111750000</v>
      </c>
      <c r="H262" s="2"/>
      <c r="I262" s="2"/>
      <c r="J262" s="2"/>
      <c r="K262" s="2"/>
      <c r="L262" s="2"/>
      <c r="M262" s="2"/>
      <c r="N262" s="2"/>
      <c r="O262" s="2"/>
      <c r="P262" s="2"/>
      <c r="Q262" s="2"/>
      <c r="R262" s="2"/>
      <c r="S262" s="2"/>
      <c r="T262" s="2"/>
      <c r="U262" s="2"/>
      <c r="V262" s="2"/>
      <c r="W262" s="2"/>
      <c r="X262" s="2"/>
      <c r="Y262" s="2"/>
      <c r="Z262" s="2"/>
    </row>
    <row r="263">
      <c r="A263" s="2" t="str">
        <f>IFERROR(__xludf.DUMMYFUNCTION("""COMPUTED_VALUE"""),"Guard Shield")</f>
        <v>Guard Shield</v>
      </c>
      <c r="B263" s="2" t="str">
        <f>IFERROR(__xludf.DUMMYFUNCTION("""COMPUTED_VALUE"""),"Quest Item")</f>
        <v>Quest Item</v>
      </c>
      <c r="C263" s="2" t="str">
        <f>IFERROR(__xludf.DUMMYFUNCTION("""COMPUTED_VALUE"""),"Towershield")</f>
        <v>Towershield</v>
      </c>
      <c r="D263" s="2" t="str">
        <f>IFERROR(__xludf.DUMMYFUNCTION("""COMPUTED_VALUE"""),"Hand")</f>
        <v>Hand</v>
      </c>
      <c r="E263" s="2">
        <f>IFERROR(__xludf.DUMMYFUNCTION("""COMPUTED_VALUE"""),200.0)</f>
        <v>200</v>
      </c>
      <c r="F263" s="2" t="str">
        <f>IFERROR(__xludf.DUMMYFUNCTION("""COMPUTED_VALUE"""),"DEF: +25000, Light DEF: +25000, Celestial DEF: +25000")</f>
        <v>DEF: +25000, Light DEF: +25000, Celestial DEF: +25000</v>
      </c>
      <c r="G263" s="2">
        <f>IFERROR(__xludf.DUMMYFUNCTION("""COMPUTED_VALUE"""),1.1175E8)</f>
        <v>111750000</v>
      </c>
      <c r="H263" s="2"/>
      <c r="I263" s="2"/>
      <c r="J263" s="2"/>
      <c r="K263" s="2"/>
      <c r="L263" s="2"/>
      <c r="M263" s="2"/>
      <c r="N263" s="2"/>
      <c r="O263" s="2"/>
      <c r="P263" s="2"/>
      <c r="Q263" s="2"/>
      <c r="R263" s="2"/>
      <c r="S263" s="2"/>
      <c r="T263" s="2"/>
      <c r="U263" s="2"/>
      <c r="V263" s="2"/>
      <c r="W263" s="2"/>
      <c r="X263" s="2"/>
      <c r="Y263" s="2"/>
      <c r="Z263" s="2"/>
    </row>
    <row r="264">
      <c r="A264" s="2" t="str">
        <f>IFERROR(__xludf.DUMMYFUNCTION("""COMPUTED_VALUE"""),"Guard Sword")</f>
        <v>Guard Sword</v>
      </c>
      <c r="B264" s="2" t="str">
        <f>IFERROR(__xludf.DUMMYFUNCTION("""COMPUTED_VALUE"""),"Quest Item")</f>
        <v>Quest Item</v>
      </c>
      <c r="C264" s="2" t="str">
        <f>IFERROR(__xludf.DUMMYFUNCTION("""COMPUTED_VALUE"""),"Sword")</f>
        <v>Sword</v>
      </c>
      <c r="D264" s="2" t="str">
        <f>IFERROR(__xludf.DUMMYFUNCTION("""COMPUTED_VALUE"""),"Hand")</f>
        <v>Hand</v>
      </c>
      <c r="E264" s="2">
        <f>IFERROR(__xludf.DUMMYFUNCTION("""COMPUTED_VALUE"""),200.0)</f>
        <v>200</v>
      </c>
      <c r="F264" s="2" t="str">
        <f>IFERROR(__xludf.DUMMYFUNCTION("""COMPUTED_VALUE"""),"DMG: +25000, Light DMG: +25000, Celestial DMG: +25000")</f>
        <v>DMG: +25000, Light DMG: +25000, Celestial DMG: +25000</v>
      </c>
      <c r="G264" s="2">
        <f>IFERROR(__xludf.DUMMYFUNCTION("""COMPUTED_VALUE"""),1.1175E8)</f>
        <v>111750000</v>
      </c>
      <c r="H264" s="2"/>
      <c r="I264" s="2"/>
      <c r="J264" s="2"/>
      <c r="K264" s="2"/>
      <c r="L264" s="2"/>
      <c r="M264" s="2"/>
      <c r="N264" s="2"/>
      <c r="O264" s="2"/>
      <c r="P264" s="2"/>
      <c r="Q264" s="2"/>
      <c r="R264" s="2"/>
      <c r="S264" s="2"/>
      <c r="T264" s="2"/>
      <c r="U264" s="2"/>
      <c r="V264" s="2"/>
      <c r="W264" s="2"/>
      <c r="X264" s="2"/>
      <c r="Y264" s="2"/>
      <c r="Z264" s="2"/>
    </row>
    <row r="265">
      <c r="A265" s="2" t="str">
        <f>IFERROR(__xludf.DUMMYFUNCTION("""COMPUTED_VALUE"""),"Steel Armor")</f>
        <v>Steel Armor</v>
      </c>
      <c r="B265" s="2"/>
      <c r="C265" s="2"/>
      <c r="D265" s="2" t="str">
        <f>IFERROR(__xludf.DUMMYFUNCTION("""COMPUTED_VALUE"""),"Torso")</f>
        <v>Torso</v>
      </c>
      <c r="E265" s="2">
        <f>IFERROR(__xludf.DUMMYFUNCTION("""COMPUTED_VALUE"""),1.0)</f>
        <v>1</v>
      </c>
      <c r="F265" s="2" t="str">
        <f>IFERROR(__xludf.DUMMYFUNCTION("""COMPUTED_VALUE"""),"DEF: +20")</f>
        <v>DEF: +20</v>
      </c>
      <c r="G265" s="2">
        <f>IFERROR(__xludf.DUMMYFUNCTION("""COMPUTED_VALUE"""),0.0)</f>
        <v>0</v>
      </c>
      <c r="H265" s="2"/>
      <c r="I265" s="2"/>
      <c r="J265" s="2"/>
      <c r="K265" s="2"/>
      <c r="L265" s="2"/>
      <c r="M265" s="2"/>
      <c r="N265" s="2"/>
      <c r="O265" s="2"/>
      <c r="P265" s="2"/>
      <c r="Q265" s="2"/>
      <c r="R265" s="2"/>
      <c r="S265" s="2"/>
      <c r="T265" s="2"/>
      <c r="U265" s="2"/>
      <c r="V265" s="2"/>
      <c r="W265" s="2"/>
      <c r="X265" s="2"/>
      <c r="Y265" s="2"/>
      <c r="Z265" s="2"/>
    </row>
    <row r="266">
      <c r="A266" s="2" t="str">
        <f>IFERROR(__xludf.DUMMYFUNCTION("""COMPUTED_VALUE"""),"Steel Broadsword")</f>
        <v>Steel Broadsword</v>
      </c>
      <c r="B266" s="2"/>
      <c r="C266" s="2" t="str">
        <f>IFERROR(__xludf.DUMMYFUNCTION("""COMPUTED_VALUE"""),"Sword")</f>
        <v>Sword</v>
      </c>
      <c r="D266" s="2" t="str">
        <f>IFERROR(__xludf.DUMMYFUNCTION("""COMPUTED_VALUE"""),"Hand")</f>
        <v>Hand</v>
      </c>
      <c r="E266" s="2">
        <f>IFERROR(__xludf.DUMMYFUNCTION("""COMPUTED_VALUE"""),40.0)</f>
        <v>40</v>
      </c>
      <c r="F266" s="2" t="str">
        <f>IFERROR(__xludf.DUMMYFUNCTION("""COMPUTED_VALUE"""),"DMG: +2000")</f>
        <v>DMG: +2000</v>
      </c>
      <c r="G266" s="2">
        <f>IFERROR(__xludf.DUMMYFUNCTION("""COMPUTED_VALUE"""),60000.0)</f>
        <v>60000</v>
      </c>
      <c r="H266" s="2"/>
      <c r="I266" s="2"/>
      <c r="J266" s="2"/>
      <c r="K266" s="2"/>
      <c r="L266" s="2"/>
      <c r="M266" s="2"/>
      <c r="N266" s="2"/>
      <c r="O266" s="2"/>
      <c r="P266" s="2"/>
      <c r="Q266" s="2"/>
      <c r="R266" s="2"/>
      <c r="S266" s="2"/>
      <c r="T266" s="2"/>
      <c r="U266" s="2"/>
      <c r="V266" s="2"/>
      <c r="W266" s="2"/>
      <c r="X266" s="2"/>
      <c r="Y266" s="2"/>
      <c r="Z266" s="2"/>
    </row>
    <row r="267">
      <c r="A267" s="2" t="str">
        <f>IFERROR(__xludf.DUMMYFUNCTION("""COMPUTED_VALUE"""),"Steel Sword")</f>
        <v>Steel Sword</v>
      </c>
      <c r="B267" s="2"/>
      <c r="C267" s="2" t="str">
        <f>IFERROR(__xludf.DUMMYFUNCTION("""COMPUTED_VALUE"""),"Sword")</f>
        <v>Sword</v>
      </c>
      <c r="D267" s="2" t="str">
        <f>IFERROR(__xludf.DUMMYFUNCTION("""COMPUTED_VALUE"""),"Hand")</f>
        <v>Hand</v>
      </c>
      <c r="E267" s="2">
        <f>IFERROR(__xludf.DUMMYFUNCTION("""COMPUTED_VALUE"""),10.0)</f>
        <v>10</v>
      </c>
      <c r="F267" s="2" t="str">
        <f>IFERROR(__xludf.DUMMYFUNCTION("""COMPUTED_VALUE"""),"DMG: +500")</f>
        <v>DMG: +500</v>
      </c>
      <c r="G267" s="2">
        <f>IFERROR(__xludf.DUMMYFUNCTION("""COMPUTED_VALUE"""),1000.0)</f>
        <v>1000</v>
      </c>
      <c r="H267" s="2"/>
      <c r="I267" s="2"/>
      <c r="J267" s="2"/>
      <c r="K267" s="2"/>
      <c r="L267" s="2"/>
      <c r="M267" s="2"/>
      <c r="N267" s="2"/>
      <c r="O267" s="2"/>
      <c r="P267" s="2"/>
      <c r="Q267" s="2"/>
      <c r="R267" s="2"/>
      <c r="S267" s="2"/>
      <c r="T267" s="2"/>
      <c r="U267" s="2"/>
      <c r="V267" s="2"/>
      <c r="W267" s="2"/>
      <c r="X267" s="2"/>
      <c r="Y267" s="2"/>
      <c r="Z267" s="2"/>
    </row>
    <row r="268">
      <c r="A268" s="2" t="str">
        <f>IFERROR(__xludf.DUMMYFUNCTION("""COMPUTED_VALUE"""),"Stick of Mystery ")</f>
        <v>Stick of Mystery </v>
      </c>
      <c r="B268" s="2" t="str">
        <f>IFERROR(__xludf.DUMMYFUNCTION("""COMPUTED_VALUE"""),"Those who doubt the stick's power will suffer the stick's wrath")</f>
        <v>Those who doubt the stick's power will suffer the stick's wrath</v>
      </c>
      <c r="C268" s="2" t="str">
        <f>IFERROR(__xludf.DUMMYFUNCTION("""COMPUTED_VALUE"""),"Wand")</f>
        <v>Wand</v>
      </c>
      <c r="D268" s="2" t="str">
        <f>IFERROR(__xludf.DUMMYFUNCTION("""COMPUTED_VALUE"""),"Hand")</f>
        <v>Hand</v>
      </c>
      <c r="E268" s="2">
        <f>IFERROR(__xludf.DUMMYFUNCTION("""COMPUTED_VALUE"""),1.0)</f>
        <v>1</v>
      </c>
      <c r="F268" s="2" t="str">
        <f>IFERROR(__xludf.DUMMYFUNCTION("""COMPUTED_VALUE""")," ++roll a d20 to see what it does :)")</f>
        <v> ++roll a d20 to see what it does :)</v>
      </c>
      <c r="G268" s="2">
        <f>IFERROR(__xludf.DUMMYFUNCTION("""COMPUTED_VALUE"""),0.0)</f>
        <v>0</v>
      </c>
      <c r="H268" s="2"/>
      <c r="I268" s="2"/>
      <c r="J268" s="2"/>
      <c r="K268" s="2"/>
      <c r="L268" s="2"/>
      <c r="M268" s="2"/>
      <c r="N268" s="2"/>
      <c r="O268" s="2"/>
      <c r="P268" s="2"/>
      <c r="Q268" s="2"/>
      <c r="R268" s="2"/>
      <c r="S268" s="2"/>
      <c r="T268" s="2"/>
      <c r="U268" s="2"/>
      <c r="V268" s="2"/>
      <c r="W268" s="2"/>
      <c r="X268" s="2"/>
      <c r="Y268" s="2"/>
      <c r="Z268" s="2"/>
    </row>
    <row r="269">
      <c r="A269" s="2" t="str">
        <f>IFERROR(__xludf.DUMMYFUNCTION("""COMPUTED_VALUE"""),"Stone Arming Sword")</f>
        <v>Stone Arming Sword</v>
      </c>
      <c r="B269" s="2"/>
      <c r="C269" s="2" t="str">
        <f>IFERROR(__xludf.DUMMYFUNCTION("""COMPUTED_VALUE"""),"Sword")</f>
        <v>Sword</v>
      </c>
      <c r="D269" s="2" t="str">
        <f>IFERROR(__xludf.DUMMYFUNCTION("""COMPUTED_VALUE"""),"Hand")</f>
        <v>Hand</v>
      </c>
      <c r="E269" s="2">
        <f>IFERROR(__xludf.DUMMYFUNCTION("""COMPUTED_VALUE"""),20.0)</f>
        <v>20</v>
      </c>
      <c r="F269" s="2" t="str">
        <f>IFERROR(__xludf.DUMMYFUNCTION("""COMPUTED_VALUE"""),"DMG: +500, Dark DMG: +200")</f>
        <v>DMG: +500, Dark DMG: +200</v>
      </c>
      <c r="G269" s="2">
        <f>IFERROR(__xludf.DUMMYFUNCTION("""COMPUTED_VALUE"""),1000.0)</f>
        <v>1000</v>
      </c>
      <c r="H269" s="2"/>
      <c r="I269" s="2"/>
      <c r="J269" s="2"/>
      <c r="K269" s="2"/>
      <c r="L269" s="2"/>
      <c r="M269" s="2"/>
      <c r="N269" s="2"/>
      <c r="O269" s="2"/>
      <c r="P269" s="2"/>
      <c r="Q269" s="2"/>
      <c r="R269" s="2"/>
      <c r="S269" s="2"/>
      <c r="T269" s="2"/>
      <c r="U269" s="2"/>
      <c r="V269" s="2"/>
      <c r="W269" s="2"/>
      <c r="X269" s="2"/>
      <c r="Y269" s="2"/>
      <c r="Z269" s="2"/>
    </row>
    <row r="270">
      <c r="A270" s="2" t="str">
        <f>IFERROR(__xludf.DUMMYFUNCTION("""COMPUTED_VALUE"""),"Stone Sledgehammer")</f>
        <v>Stone Sledgehammer</v>
      </c>
      <c r="B270" s="2"/>
      <c r="C270" s="2" t="str">
        <f>IFERROR(__xludf.DUMMYFUNCTION("""COMPUTED_VALUE"""),"Club")</f>
        <v>Club</v>
      </c>
      <c r="D270" s="2" t="str">
        <f>IFERROR(__xludf.DUMMYFUNCTION("""COMPUTED_VALUE"""),"Hand")</f>
        <v>Hand</v>
      </c>
      <c r="E270" s="2">
        <f>IFERROR(__xludf.DUMMYFUNCTION("""COMPUTED_VALUE"""),20.0)</f>
        <v>20</v>
      </c>
      <c r="F270" s="2" t="str">
        <f>IFERROR(__xludf.DUMMYFUNCTION("""COMPUTED_VALUE"""),"DMG: +400, Earth DMG: +200")</f>
        <v>DMG: +400, Earth DMG: +200</v>
      </c>
      <c r="G270" s="2">
        <f>IFERROR(__xludf.DUMMYFUNCTION("""COMPUTED_VALUE"""),1000.0)</f>
        <v>1000</v>
      </c>
      <c r="H270" s="2"/>
      <c r="I270" s="2"/>
      <c r="J270" s="2"/>
      <c r="K270" s="2"/>
      <c r="L270" s="2"/>
      <c r="M270" s="2"/>
      <c r="N270" s="2"/>
      <c r="O270" s="2"/>
      <c r="P270" s="2"/>
      <c r="Q270" s="2"/>
      <c r="R270" s="2"/>
      <c r="S270" s="2"/>
      <c r="T270" s="2"/>
      <c r="U270" s="2"/>
      <c r="V270" s="2"/>
      <c r="W270" s="2"/>
      <c r="X270" s="2"/>
      <c r="Y270" s="2"/>
      <c r="Z270" s="2"/>
    </row>
    <row r="271">
      <c r="A271" s="2" t="str">
        <f>IFERROR(__xludf.DUMMYFUNCTION("""COMPUTED_VALUE"""),"Stone Small Shield")</f>
        <v>Stone Small Shield</v>
      </c>
      <c r="B271" s="2"/>
      <c r="C271" s="2" t="str">
        <f>IFERROR(__xludf.DUMMYFUNCTION("""COMPUTED_VALUE"""),"Buckler")</f>
        <v>Buckler</v>
      </c>
      <c r="D271" s="2" t="str">
        <f>IFERROR(__xludf.DUMMYFUNCTION("""COMPUTED_VALUE"""),"Hand")</f>
        <v>Hand</v>
      </c>
      <c r="E271" s="2">
        <f>IFERROR(__xludf.DUMMYFUNCTION("""COMPUTED_VALUE"""),1.0)</f>
        <v>1</v>
      </c>
      <c r="F271" s="2" t="str">
        <f>IFERROR(__xludf.DUMMYFUNCTION("""COMPUTED_VALUE"""),"DEF: +100")</f>
        <v>DEF: +100</v>
      </c>
      <c r="G271" s="2">
        <f>IFERROR(__xludf.DUMMYFUNCTION("""COMPUTED_VALUE"""),0.0)</f>
        <v>0</v>
      </c>
      <c r="H271" s="2"/>
      <c r="I271" s="2"/>
      <c r="J271" s="2"/>
      <c r="K271" s="2"/>
      <c r="L271" s="2"/>
      <c r="M271" s="2"/>
      <c r="N271" s="2"/>
      <c r="O271" s="2"/>
      <c r="P271" s="2"/>
      <c r="Q271" s="2"/>
      <c r="R271" s="2"/>
      <c r="S271" s="2"/>
      <c r="T271" s="2"/>
      <c r="U271" s="2"/>
      <c r="V271" s="2"/>
      <c r="W271" s="2"/>
      <c r="X271" s="2"/>
      <c r="Y271" s="2"/>
      <c r="Z271" s="2"/>
    </row>
    <row r="272">
      <c r="A272" s="2" t="str">
        <f>IFERROR(__xludf.DUMMYFUNCTION("""COMPUTED_VALUE"""),"Stonewall Shield")</f>
        <v>Stonewall Shield</v>
      </c>
      <c r="B272" s="2"/>
      <c r="C272" s="2" t="str">
        <f>IFERROR(__xludf.DUMMYFUNCTION("""COMPUTED_VALUE"""),"Towershield")</f>
        <v>Towershield</v>
      </c>
      <c r="D272" s="2" t="str">
        <f>IFERROR(__xludf.DUMMYFUNCTION("""COMPUTED_VALUE"""),"Hand")</f>
        <v>Hand</v>
      </c>
      <c r="E272" s="2">
        <f>IFERROR(__xludf.DUMMYFUNCTION("""COMPUTED_VALUE"""),10.0)</f>
        <v>10</v>
      </c>
      <c r="F272" s="2" t="str">
        <f>IFERROR(__xludf.DUMMYFUNCTION("""COMPUTED_VALUE"""),"DEF: +500 ++Immunity to earth")</f>
        <v>DEF: +500 ++Immunity to earth</v>
      </c>
      <c r="G272" s="2">
        <f>IFERROR(__xludf.DUMMYFUNCTION("""COMPUTED_VALUE"""),1000.0)</f>
        <v>1000</v>
      </c>
      <c r="H272" s="2"/>
      <c r="I272" s="2"/>
      <c r="J272" s="2"/>
      <c r="K272" s="2"/>
      <c r="L272" s="2"/>
      <c r="M272" s="2"/>
      <c r="N272" s="2"/>
      <c r="O272" s="2"/>
      <c r="P272" s="2"/>
      <c r="Q272" s="2"/>
      <c r="R272" s="2"/>
      <c r="S272" s="2"/>
      <c r="T272" s="2"/>
      <c r="U272" s="2"/>
      <c r="V272" s="2"/>
      <c r="W272" s="2"/>
      <c r="X272" s="2"/>
      <c r="Y272" s="2"/>
      <c r="Z272" s="2"/>
    </row>
    <row r="273">
      <c r="A273" s="2" t="str">
        <f>IFERROR(__xludf.DUMMYFUNCTION("""COMPUTED_VALUE"""),"Sturdy Wooden Shield")</f>
        <v>Sturdy Wooden Shield</v>
      </c>
      <c r="B273" s="2" t="str">
        <f>IFERROR(__xludf.DUMMYFUNCTION("""COMPUTED_VALUE"""),"A wooden shield")</f>
        <v>A wooden shield</v>
      </c>
      <c r="C273" s="2" t="str">
        <f>IFERROR(__xludf.DUMMYFUNCTION("""COMPUTED_VALUE"""),"Towershield")</f>
        <v>Towershield</v>
      </c>
      <c r="D273" s="2" t="str">
        <f>IFERROR(__xludf.DUMMYFUNCTION("""COMPUTED_VALUE"""),"Hand")</f>
        <v>Hand</v>
      </c>
      <c r="E273" s="2">
        <f>IFERROR(__xludf.DUMMYFUNCTION("""COMPUTED_VALUE"""),1.0)</f>
        <v>1</v>
      </c>
      <c r="F273" s="2" t="str">
        <f>IFERROR(__xludf.DUMMYFUNCTION("""COMPUTED_VALUE"""),"DEF: +50")</f>
        <v>DEF: +50</v>
      </c>
      <c r="G273" s="2">
        <f>IFERROR(__xludf.DUMMYFUNCTION("""COMPUTED_VALUE"""),0.0)</f>
        <v>0</v>
      </c>
      <c r="H273" s="2"/>
      <c r="I273" s="2"/>
      <c r="J273" s="2"/>
      <c r="K273" s="2"/>
      <c r="L273" s="2"/>
      <c r="M273" s="2"/>
      <c r="N273" s="2"/>
      <c r="O273" s="2"/>
      <c r="P273" s="2"/>
      <c r="Q273" s="2"/>
      <c r="R273" s="2"/>
      <c r="S273" s="2"/>
      <c r="T273" s="2"/>
      <c r="U273" s="2"/>
      <c r="V273" s="2"/>
      <c r="W273" s="2"/>
      <c r="X273" s="2"/>
      <c r="Y273" s="2"/>
      <c r="Z273" s="2"/>
    </row>
    <row r="274">
      <c r="A274" s="2" t="str">
        <f>IFERROR(__xludf.DUMMYFUNCTION("""COMPUTED_VALUE"""),"Swampville Dagger")</f>
        <v>Swampville Dagger</v>
      </c>
      <c r="B274" s="2"/>
      <c r="C274" s="2" t="str">
        <f>IFERROR(__xludf.DUMMYFUNCTION("""COMPUTED_VALUE"""),"Knife")</f>
        <v>Knife</v>
      </c>
      <c r="D274" s="2" t="str">
        <f>IFERROR(__xludf.DUMMYFUNCTION("""COMPUTED_VALUE"""),"Hand")</f>
        <v>Hand</v>
      </c>
      <c r="E274" s="2">
        <f>IFERROR(__xludf.DUMMYFUNCTION("""COMPUTED_VALUE"""),400.0)</f>
        <v>400</v>
      </c>
      <c r="F274" s="2" t="str">
        <f>IFERROR(__xludf.DUMMYFUNCTION("""COMPUTED_VALUE"""),"DMG: +10000, Nature DMG: +10000 ++Poison 5000 for 3 rounds.")</f>
        <v>DMG: +10000, Nature DMG: +10000 ++Poison 5000 for 3 rounds.</v>
      </c>
      <c r="G274" s="2">
        <f>IFERROR(__xludf.DUMMYFUNCTION("""COMPUTED_VALUE"""),7800000.0)</f>
        <v>7800000</v>
      </c>
      <c r="H274" s="2"/>
      <c r="I274" s="2"/>
      <c r="J274" s="2"/>
      <c r="K274" s="2"/>
      <c r="L274" s="2"/>
      <c r="M274" s="2"/>
      <c r="N274" s="2"/>
      <c r="O274" s="2"/>
      <c r="P274" s="2"/>
      <c r="Q274" s="2"/>
      <c r="R274" s="2"/>
      <c r="S274" s="2"/>
      <c r="T274" s="2"/>
      <c r="U274" s="2"/>
      <c r="V274" s="2"/>
      <c r="W274" s="2"/>
      <c r="X274" s="2"/>
      <c r="Y274" s="2"/>
      <c r="Z274" s="2"/>
    </row>
    <row r="275">
      <c r="A275" s="2" t="str">
        <f>IFERROR(__xludf.DUMMYFUNCTION("""COMPUTED_VALUE"""),"Sword of Bad Luck")</f>
        <v>Sword of Bad Luck</v>
      </c>
      <c r="B275" s="2"/>
      <c r="C275" s="2" t="str">
        <f>IFERROR(__xludf.DUMMYFUNCTION("""COMPUTED_VALUE"""),"Sword")</f>
        <v>Sword</v>
      </c>
      <c r="D275" s="2" t="str">
        <f>IFERROR(__xludf.DUMMYFUNCTION("""COMPUTED_VALUE"""),"Hand")</f>
        <v>Hand</v>
      </c>
      <c r="E275" s="2">
        <f>IFERROR(__xludf.DUMMYFUNCTION("""COMPUTED_VALUE"""),600.0)</f>
        <v>600</v>
      </c>
      <c r="F275" s="2" t="str">
        <f>IFERROR(__xludf.DUMMYFUNCTION("""COMPUTED_VALUE"""),"DMG: +30000 ++GSteal - Steal X amount of gilders equal to the amount of damage caused with this weapon.")</f>
        <v>DMG: +30000 ++GSteal - Steal X amount of gilders equal to the amount of damage caused with this weapon.</v>
      </c>
      <c r="G275" s="2">
        <f>IFERROR(__xludf.DUMMYFUNCTION("""COMPUTED_VALUE"""),1.77E7)</f>
        <v>17700000</v>
      </c>
      <c r="H275" s="2"/>
      <c r="I275" s="2"/>
      <c r="J275" s="2"/>
      <c r="K275" s="2"/>
      <c r="L275" s="2"/>
      <c r="M275" s="2"/>
      <c r="N275" s="2"/>
      <c r="O275" s="2"/>
      <c r="P275" s="2"/>
      <c r="Q275" s="2"/>
      <c r="R275" s="2"/>
      <c r="S275" s="2"/>
      <c r="T275" s="2"/>
      <c r="U275" s="2"/>
      <c r="V275" s="2"/>
      <c r="W275" s="2"/>
      <c r="X275" s="2"/>
      <c r="Y275" s="2"/>
      <c r="Z275" s="2"/>
    </row>
    <row r="276">
      <c r="A276" s="2" t="str">
        <f>IFERROR(__xludf.DUMMYFUNCTION("""COMPUTED_VALUE"""),"Sword of Chaotic Shadows")</f>
        <v>Sword of Chaotic Shadows</v>
      </c>
      <c r="B276" s="2"/>
      <c r="C276" s="2" t="str">
        <f>IFERROR(__xludf.DUMMYFUNCTION("""COMPUTED_VALUE"""),"Sword")</f>
        <v>Sword</v>
      </c>
      <c r="D276" s="2" t="str">
        <f>IFERROR(__xludf.DUMMYFUNCTION("""COMPUTED_VALUE"""),"Hand")</f>
        <v>Hand</v>
      </c>
      <c r="E276" s="2">
        <f>IFERROR(__xludf.DUMMYFUNCTION("""COMPUTED_VALUE"""),600.0)</f>
        <v>600</v>
      </c>
      <c r="F276" s="2" t="str">
        <f>IFERROR(__xludf.DUMMYFUNCTION("""COMPUTED_VALUE"""),"DMG: +10000, Dark DMG: +10000, Chaos DMG: +10000")</f>
        <v>DMG: +10000, Dark DMG: +10000, Chaos DMG: +10000</v>
      </c>
      <c r="G276" s="2">
        <f>IFERROR(__xludf.DUMMYFUNCTION("""COMPUTED_VALUE"""),1.77E7)</f>
        <v>17700000</v>
      </c>
      <c r="H276" s="2"/>
      <c r="I276" s="2"/>
      <c r="J276" s="2"/>
      <c r="K276" s="2"/>
      <c r="L276" s="2"/>
      <c r="M276" s="2"/>
      <c r="N276" s="2"/>
      <c r="O276" s="2"/>
      <c r="P276" s="2"/>
      <c r="Q276" s="2"/>
      <c r="R276" s="2"/>
      <c r="S276" s="2"/>
      <c r="T276" s="2"/>
      <c r="U276" s="2"/>
      <c r="V276" s="2"/>
      <c r="W276" s="2"/>
      <c r="X276" s="2"/>
      <c r="Y276" s="2"/>
      <c r="Z276" s="2"/>
    </row>
    <row r="277">
      <c r="A277" s="2" t="str">
        <f>IFERROR(__xludf.DUMMYFUNCTION("""COMPUTED_VALUE"""),"Sword Of Darkness")</f>
        <v>Sword Of Darkness</v>
      </c>
      <c r="B277" s="2"/>
      <c r="C277" s="2" t="str">
        <f>IFERROR(__xludf.DUMMYFUNCTION("""COMPUTED_VALUE"""),"Sword")</f>
        <v>Sword</v>
      </c>
      <c r="D277" s="2" t="str">
        <f>IFERROR(__xludf.DUMMYFUNCTION("""COMPUTED_VALUE"""),"Hand")</f>
        <v>Hand</v>
      </c>
      <c r="E277" s="2">
        <f>IFERROR(__xludf.DUMMYFUNCTION("""COMPUTED_VALUE"""),20.0)</f>
        <v>20</v>
      </c>
      <c r="F277" s="2" t="str">
        <f>IFERROR(__xludf.DUMMYFUNCTION("""COMPUTED_VALUE"""),"DMG: +500, Dark DMG: +200")</f>
        <v>DMG: +500, Dark DMG: +200</v>
      </c>
      <c r="G277" s="2">
        <f>IFERROR(__xludf.DUMMYFUNCTION("""COMPUTED_VALUE"""),1000.0)</f>
        <v>1000</v>
      </c>
      <c r="H277" s="2"/>
      <c r="I277" s="2"/>
      <c r="J277" s="2"/>
      <c r="K277" s="2"/>
      <c r="L277" s="2"/>
      <c r="M277" s="2"/>
      <c r="N277" s="2"/>
      <c r="O277" s="2"/>
      <c r="P277" s="2"/>
      <c r="Q277" s="2"/>
      <c r="R277" s="2"/>
      <c r="S277" s="2"/>
      <c r="T277" s="2"/>
      <c r="U277" s="2"/>
      <c r="V277" s="2"/>
      <c r="W277" s="2"/>
      <c r="X277" s="2"/>
      <c r="Y277" s="2"/>
      <c r="Z277" s="2"/>
    </row>
    <row r="278">
      <c r="A278" s="2" t="str">
        <f>IFERROR(__xludf.DUMMYFUNCTION("""COMPUTED_VALUE"""),"Sword of Disorder")</f>
        <v>Sword of Disorder</v>
      </c>
      <c r="B278" s="2"/>
      <c r="C278" s="2" t="str">
        <f>IFERROR(__xludf.DUMMYFUNCTION("""COMPUTED_VALUE"""),"Sword")</f>
        <v>Sword</v>
      </c>
      <c r="D278" s="2" t="str">
        <f>IFERROR(__xludf.DUMMYFUNCTION("""COMPUTED_VALUE"""),"Hand")</f>
        <v>Hand</v>
      </c>
      <c r="E278" s="2">
        <f>IFERROR(__xludf.DUMMYFUNCTION("""COMPUTED_VALUE"""),1.0)</f>
        <v>1</v>
      </c>
      <c r="F278" s="2" t="str">
        <f>IFERROR(__xludf.DUMMYFUNCTION("""COMPUTED_VALUE""")," ++Make a fail or succeed roll while attacking to determine the effect. Fail = 1 damage. Succeed = 50,000 Chaos damage.
")</f>
        <v> ++Make a fail or succeed roll while attacking to determine the effect. Fail = 1 damage. Succeed = 50,000 Chaos damage.
</v>
      </c>
      <c r="G278" s="2">
        <f>IFERROR(__xludf.DUMMYFUNCTION("""COMPUTED_VALUE"""),0.0)</f>
        <v>0</v>
      </c>
      <c r="H278" s="2"/>
      <c r="I278" s="2"/>
      <c r="J278" s="2"/>
      <c r="K278" s="2"/>
      <c r="L278" s="2"/>
      <c r="M278" s="2"/>
      <c r="N278" s="2"/>
      <c r="O278" s="2"/>
      <c r="P278" s="2"/>
      <c r="Q278" s="2"/>
      <c r="R278" s="2"/>
      <c r="S278" s="2"/>
      <c r="T278" s="2"/>
      <c r="U278" s="2"/>
      <c r="V278" s="2"/>
      <c r="W278" s="2"/>
      <c r="X278" s="2"/>
      <c r="Y278" s="2"/>
      <c r="Z278" s="2"/>
    </row>
    <row r="279">
      <c r="A279" s="2" t="str">
        <f>IFERROR(__xludf.DUMMYFUNCTION("""COMPUTED_VALUE"""),"Sword Of Divine Flames")</f>
        <v>Sword Of Divine Flames</v>
      </c>
      <c r="B279" s="2"/>
      <c r="C279" s="2" t="str">
        <f>IFERROR(__xludf.DUMMYFUNCTION("""COMPUTED_VALUE"""),"Sword")</f>
        <v>Sword</v>
      </c>
      <c r="D279" s="2" t="str">
        <f>IFERROR(__xludf.DUMMYFUNCTION("""COMPUTED_VALUE"""),"Hand")</f>
        <v>Hand</v>
      </c>
      <c r="E279" s="2">
        <f>IFERROR(__xludf.DUMMYFUNCTION("""COMPUTED_VALUE"""),300.0)</f>
        <v>300</v>
      </c>
      <c r="F279" s="2" t="str">
        <f>IFERROR(__xludf.DUMMYFUNCTION("""COMPUTED_VALUE"""),"DMG: +10000, Fire DMG: +5000 ++Divine Flame - Fire spells and weapons will deal an additional X2 damage while this weapon is equipped")</f>
        <v>DMG: +10000, Fire DMG: +5000 ++Divine Flame - Fire spells and weapons will deal an additional X2 damage while this weapon is equipped</v>
      </c>
      <c r="G279" s="2">
        <f>IFERROR(__xludf.DUMMYFUNCTION("""COMPUTED_VALUE"""),4350000.0)</f>
        <v>4350000</v>
      </c>
      <c r="H279" s="2"/>
      <c r="I279" s="2"/>
      <c r="J279" s="2"/>
      <c r="K279" s="2"/>
      <c r="L279" s="2"/>
      <c r="M279" s="2"/>
      <c r="N279" s="2"/>
      <c r="O279" s="2"/>
      <c r="P279" s="2"/>
      <c r="Q279" s="2"/>
      <c r="R279" s="2"/>
      <c r="S279" s="2"/>
      <c r="T279" s="2"/>
      <c r="U279" s="2"/>
      <c r="V279" s="2"/>
      <c r="W279" s="2"/>
      <c r="X279" s="2"/>
      <c r="Y279" s="2"/>
      <c r="Z279" s="2"/>
    </row>
    <row r="280">
      <c r="A280" s="2" t="str">
        <f>IFERROR(__xludf.DUMMYFUNCTION("""COMPUTED_VALUE"""),"Sword of Eternal darkness")</f>
        <v>Sword of Eternal darkness</v>
      </c>
      <c r="B280" s="2"/>
      <c r="C280" s="2" t="str">
        <f>IFERROR(__xludf.DUMMYFUNCTION("""COMPUTED_VALUE"""),"Sword")</f>
        <v>Sword</v>
      </c>
      <c r="D280" s="2" t="str">
        <f>IFERROR(__xludf.DUMMYFUNCTION("""COMPUTED_VALUE"""),"Hand")</f>
        <v>Hand</v>
      </c>
      <c r="E280" s="2">
        <f>IFERROR(__xludf.DUMMYFUNCTION("""COMPUTED_VALUE"""),30.0)</f>
        <v>30</v>
      </c>
      <c r="F280" s="2" t="str">
        <f>IFERROR(__xludf.DUMMYFUNCTION("""COMPUTED_VALUE"""),"DMG: +500, Dark DMG: +600")</f>
        <v>DMG: +500, Dark DMG: +600</v>
      </c>
      <c r="G280" s="2">
        <f>IFERROR(__xludf.DUMMYFUNCTION("""COMPUTED_VALUE"""),10000.0)</f>
        <v>10000</v>
      </c>
      <c r="H280" s="2"/>
      <c r="I280" s="2"/>
      <c r="J280" s="2"/>
      <c r="K280" s="2"/>
      <c r="L280" s="2"/>
      <c r="M280" s="2"/>
      <c r="N280" s="2"/>
      <c r="O280" s="2"/>
      <c r="P280" s="2"/>
      <c r="Q280" s="2"/>
      <c r="R280" s="2"/>
      <c r="S280" s="2"/>
      <c r="T280" s="2"/>
      <c r="U280" s="2"/>
      <c r="V280" s="2"/>
      <c r="W280" s="2"/>
      <c r="X280" s="2"/>
      <c r="Y280" s="2"/>
      <c r="Z280" s="2"/>
    </row>
    <row r="281">
      <c r="A281" s="2" t="str">
        <f>IFERROR(__xludf.DUMMYFUNCTION("""COMPUTED_VALUE"""),"Hela's Death Scythe")</f>
        <v>Hela's Death Scythe</v>
      </c>
      <c r="B281" s="2"/>
      <c r="C281" s="2" t="str">
        <f>IFERROR(__xludf.DUMMYFUNCTION("""COMPUTED_VALUE"""),"Scythe")</f>
        <v>Scythe</v>
      </c>
      <c r="D281" s="2" t="str">
        <f>IFERROR(__xludf.DUMMYFUNCTION("""COMPUTED_VALUE"""),"Hand")</f>
        <v>Hand</v>
      </c>
      <c r="E281" s="2">
        <f>IFERROR(__xludf.DUMMYFUNCTION("""COMPUTED_VALUE"""),1.0)</f>
        <v>1</v>
      </c>
      <c r="F281" s="2" t="str">
        <f>IFERROR(__xludf.DUMMYFUNCTION("""COMPUTED_VALUE"""),"DMG: +0, Spirit DMG: +0 ++Soul Enhanced - This sword can be enchanted with any soul to increase its Natural and Spirit damage, Each soul enchanted into this sword gives it an additional 200 natural and spirit damage. +-Cannot be forged +-Cannot be duplica"&amp;"ted
Souls 0/3000")</f>
        <v>DMG: +0, Spirit DMG: +0 ++Soul Enhanced - This sword can be enchanted with any soul to increase its Natural and Spirit damage, Each soul enchanted into this sword gives it an additional 200 natural and spirit damage. +-Cannot be forged +-Cannot be duplicated
Souls 0/3000</v>
      </c>
      <c r="G281" s="2">
        <f>IFERROR(__xludf.DUMMYFUNCTION("""COMPUTED_VALUE"""),0.0)</f>
        <v>0</v>
      </c>
      <c r="H281" s="2"/>
      <c r="I281" s="2"/>
      <c r="J281" s="2"/>
      <c r="K281" s="2"/>
      <c r="L281" s="2"/>
      <c r="M281" s="2"/>
      <c r="N281" s="2"/>
      <c r="O281" s="2"/>
      <c r="P281" s="2"/>
      <c r="Q281" s="2"/>
      <c r="R281" s="2"/>
      <c r="S281" s="2"/>
      <c r="T281" s="2"/>
      <c r="U281" s="2"/>
      <c r="V281" s="2"/>
      <c r="W281" s="2"/>
      <c r="X281" s="2"/>
      <c r="Y281" s="2"/>
      <c r="Z281" s="2"/>
    </row>
    <row r="282">
      <c r="A282" s="2" t="str">
        <f>IFERROR(__xludf.DUMMYFUNCTION("""COMPUTED_VALUE"""),"Sword of Nature’s Love")</f>
        <v>Sword of Nature’s Love</v>
      </c>
      <c r="B282" s="2"/>
      <c r="C282" s="2" t="str">
        <f>IFERROR(__xludf.DUMMYFUNCTION("""COMPUTED_VALUE"""),"Sword")</f>
        <v>Sword</v>
      </c>
      <c r="D282" s="2" t="str">
        <f>IFERROR(__xludf.DUMMYFUNCTION("""COMPUTED_VALUE"""),"Hand")</f>
        <v>Hand</v>
      </c>
      <c r="E282" s="2">
        <f>IFERROR(__xludf.DUMMYFUNCTION("""COMPUTED_VALUE"""),160.0)</f>
        <v>160</v>
      </c>
      <c r="F282" s="2" t="str">
        <f>IFERROR(__xludf.DUMMYFUNCTION("""COMPUTED_VALUE"""),"DMG: +4000, Nature DMG: +4000 ++Nature's Power - any damage dealt by this weapon gives HP back to the user equal to the damage dealt.")</f>
        <v>DMG: +4000, Nature DMG: +4000 ++Nature's Power - any damage dealt by this weapon gives HP back to the user equal to the damage dealt.</v>
      </c>
      <c r="G282" s="2">
        <f>IFERROR(__xludf.DUMMYFUNCTION("""COMPUTED_VALUE"""),1200000.0)</f>
        <v>1200000</v>
      </c>
      <c r="H282" s="2"/>
      <c r="I282" s="2"/>
      <c r="J282" s="2"/>
      <c r="K282" s="2"/>
      <c r="L282" s="2"/>
      <c r="M282" s="2"/>
      <c r="N282" s="2"/>
      <c r="O282" s="2"/>
      <c r="P282" s="2"/>
      <c r="Q282" s="2"/>
      <c r="R282" s="2"/>
      <c r="S282" s="2"/>
      <c r="T282" s="2"/>
      <c r="U282" s="2"/>
      <c r="V282" s="2"/>
      <c r="W282" s="2"/>
      <c r="X282" s="2"/>
      <c r="Y282" s="2"/>
      <c r="Z282" s="2"/>
    </row>
    <row r="283">
      <c r="A283" s="2" t="str">
        <f>IFERROR(__xludf.DUMMYFUNCTION("""COMPUTED_VALUE"""),"Sword of Shadows")</f>
        <v>Sword of Shadows</v>
      </c>
      <c r="B283" s="2"/>
      <c r="C283" s="2" t="str">
        <f>IFERROR(__xludf.DUMMYFUNCTION("""COMPUTED_VALUE"""),"Sword")</f>
        <v>Sword</v>
      </c>
      <c r="D283" s="2" t="str">
        <f>IFERROR(__xludf.DUMMYFUNCTION("""COMPUTED_VALUE"""),"Hand")</f>
        <v>Hand</v>
      </c>
      <c r="E283" s="2">
        <f>IFERROR(__xludf.DUMMYFUNCTION("""COMPUTED_VALUE"""),30.0)</f>
        <v>30</v>
      </c>
      <c r="F283" s="2" t="str">
        <f>IFERROR(__xludf.DUMMYFUNCTION("""COMPUTED_VALUE"""),"DMG: +1000, Dark DMG: +500")</f>
        <v>DMG: +1000, Dark DMG: +500</v>
      </c>
      <c r="G283" s="2">
        <f>IFERROR(__xludf.DUMMYFUNCTION("""COMPUTED_VALUE"""),30000.0)</f>
        <v>30000</v>
      </c>
      <c r="H283" s="2"/>
      <c r="I283" s="2"/>
      <c r="J283" s="2"/>
      <c r="K283" s="2"/>
      <c r="L283" s="2"/>
      <c r="M283" s="2"/>
      <c r="N283" s="2"/>
      <c r="O283" s="2"/>
      <c r="P283" s="2"/>
      <c r="Q283" s="2"/>
      <c r="R283" s="2"/>
      <c r="S283" s="2"/>
      <c r="T283" s="2"/>
      <c r="U283" s="2"/>
      <c r="V283" s="2"/>
      <c r="W283" s="2"/>
      <c r="X283" s="2"/>
      <c r="Y283" s="2"/>
      <c r="Z283" s="2"/>
    </row>
    <row r="284">
      <c r="A284" s="2" t="str">
        <f>IFERROR(__xludf.DUMMYFUNCTION("""COMPUTED_VALUE"""),"Sword of Steel")</f>
        <v>Sword of Steel</v>
      </c>
      <c r="B284" s="2"/>
      <c r="C284" s="2" t="str">
        <f>IFERROR(__xludf.DUMMYFUNCTION("""COMPUTED_VALUE"""),"Sword")</f>
        <v>Sword</v>
      </c>
      <c r="D284" s="2" t="str">
        <f>IFERROR(__xludf.DUMMYFUNCTION("""COMPUTED_VALUE"""),"Hand")</f>
        <v>Hand</v>
      </c>
      <c r="E284" s="2">
        <f>IFERROR(__xludf.DUMMYFUNCTION("""COMPUTED_VALUE"""),1.0)</f>
        <v>1</v>
      </c>
      <c r="F284" s="2" t="str">
        <f>IFERROR(__xludf.DUMMYFUNCTION("""COMPUTED_VALUE"""),"DMG: +300")</f>
        <v>DMG: +300</v>
      </c>
      <c r="G284" s="2">
        <f>IFERROR(__xludf.DUMMYFUNCTION("""COMPUTED_VALUE"""),0.0)</f>
        <v>0</v>
      </c>
      <c r="H284" s="2"/>
      <c r="I284" s="2"/>
      <c r="J284" s="2"/>
      <c r="K284" s="2"/>
      <c r="L284" s="2"/>
      <c r="M284" s="2"/>
      <c r="N284" s="2"/>
      <c r="O284" s="2"/>
      <c r="P284" s="2"/>
      <c r="Q284" s="2"/>
      <c r="R284" s="2"/>
      <c r="S284" s="2"/>
      <c r="T284" s="2"/>
      <c r="U284" s="2"/>
      <c r="V284" s="2"/>
      <c r="W284" s="2"/>
      <c r="X284" s="2"/>
      <c r="Y284" s="2"/>
      <c r="Z284" s="2"/>
    </row>
    <row r="285">
      <c r="A285" s="2" t="str">
        <f>IFERROR(__xludf.DUMMYFUNCTION("""COMPUTED_VALUE"""),"Sword of The Abyss")</f>
        <v>Sword of The Abyss</v>
      </c>
      <c r="B285" s="2"/>
      <c r="C285" s="2" t="str">
        <f>IFERROR(__xludf.DUMMYFUNCTION("""COMPUTED_VALUE"""),"Sword")</f>
        <v>Sword</v>
      </c>
      <c r="D285" s="2" t="str">
        <f>IFERROR(__xludf.DUMMYFUNCTION("""COMPUTED_VALUE"""),"Hand")</f>
        <v>Hand</v>
      </c>
      <c r="E285" s="2">
        <f>IFERROR(__xludf.DUMMYFUNCTION("""COMPUTED_VALUE"""),260.0)</f>
        <v>260</v>
      </c>
      <c r="F285" s="2" t="str">
        <f>IFERROR(__xludf.DUMMYFUNCTION("""COMPUTED_VALUE"""),"DMG: +8000, Dark DMG: +5000 ++Abyss Embodiment - dark damage is increased by X2 for the user.")</f>
        <v>DMG: +8000, Dark DMG: +5000 ++Abyss Embodiment - dark damage is increased by X2 for the user.</v>
      </c>
      <c r="G285" s="2">
        <f>IFERROR(__xludf.DUMMYFUNCTION("""COMPUTED_VALUE"""),3250000.0)</f>
        <v>3250000</v>
      </c>
      <c r="H285" s="2"/>
      <c r="I285" s="2"/>
      <c r="J285" s="2"/>
      <c r="K285" s="2"/>
      <c r="L285" s="2"/>
      <c r="M285" s="2"/>
      <c r="N285" s="2"/>
      <c r="O285" s="2"/>
      <c r="P285" s="2"/>
      <c r="Q285" s="2"/>
      <c r="R285" s="2"/>
      <c r="S285" s="2"/>
      <c r="T285" s="2"/>
      <c r="U285" s="2"/>
      <c r="V285" s="2"/>
      <c r="W285" s="2"/>
      <c r="X285" s="2"/>
      <c r="Y285" s="2"/>
      <c r="Z285" s="2"/>
    </row>
    <row r="286">
      <c r="A286" s="2" t="str">
        <f>IFERROR(__xludf.DUMMYFUNCTION("""COMPUTED_VALUE"""),"Sword of The Ancient Fire Serpent")</f>
        <v>Sword of The Ancient Fire Serpent</v>
      </c>
      <c r="B286" s="2"/>
      <c r="C286" s="2" t="str">
        <f>IFERROR(__xludf.DUMMYFUNCTION("""COMPUTED_VALUE"""),"Sword")</f>
        <v>Sword</v>
      </c>
      <c r="D286" s="2" t="str">
        <f>IFERROR(__xludf.DUMMYFUNCTION("""COMPUTED_VALUE"""),"Hand")</f>
        <v>Hand</v>
      </c>
      <c r="E286" s="2">
        <f>IFERROR(__xludf.DUMMYFUNCTION("""COMPUTED_VALUE"""),2000.0)</f>
        <v>2000</v>
      </c>
      <c r="F286" s="2" t="str">
        <f>IFERROR(__xludf.DUMMYFUNCTION("""COMPUTED_VALUE"""),"DMG: +50000, Fire DMG: +50000 ++ Burn 50,000. ++Serpents Luck - +5 can be added to the users d20 rolls. +-Cannot be duplicated.")</f>
        <v>DMG: +50000, Fire DMG: +50000 ++ Burn 50,000. ++Serpents Luck - +5 can be added to the users d20 rolls. +-Cannot be duplicated.</v>
      </c>
      <c r="G286" s="2">
        <f>IFERROR(__xludf.DUMMYFUNCTION("""COMPUTED_VALUE"""),1.99E8)</f>
        <v>199000000</v>
      </c>
      <c r="H286" s="2"/>
      <c r="I286" s="2"/>
      <c r="J286" s="2"/>
      <c r="K286" s="2"/>
      <c r="L286" s="2"/>
      <c r="M286" s="2"/>
      <c r="N286" s="2"/>
      <c r="O286" s="2"/>
      <c r="P286" s="2"/>
      <c r="Q286" s="2"/>
      <c r="R286" s="2"/>
      <c r="S286" s="2"/>
      <c r="T286" s="2"/>
      <c r="U286" s="2"/>
      <c r="V286" s="2"/>
      <c r="W286" s="2"/>
      <c r="X286" s="2"/>
      <c r="Y286" s="2"/>
      <c r="Z286" s="2"/>
    </row>
    <row r="287">
      <c r="A287" s="2" t="str">
        <f>IFERROR(__xludf.DUMMYFUNCTION("""COMPUTED_VALUE"""),"Sword of The Burning Forest")</f>
        <v>Sword of The Burning Forest</v>
      </c>
      <c r="B287" s="2" t="str">
        <f>IFERROR(__xludf.DUMMYFUNCTION("""COMPUTED_VALUE"""),"A sword forged by mekana to obliterate natural environments.")</f>
        <v>A sword forged by mekana to obliterate natural environments.</v>
      </c>
      <c r="C287" s="2" t="str">
        <f>IFERROR(__xludf.DUMMYFUNCTION("""COMPUTED_VALUE"""),"Sword")</f>
        <v>Sword</v>
      </c>
      <c r="D287" s="2" t="str">
        <f>IFERROR(__xludf.DUMMYFUNCTION("""COMPUTED_VALUE"""),"Hand")</f>
        <v>Hand</v>
      </c>
      <c r="E287" s="2">
        <f>IFERROR(__xludf.DUMMYFUNCTION("""COMPUTED_VALUE"""),600.0)</f>
        <v>600</v>
      </c>
      <c r="F287" s="2" t="str">
        <f>IFERROR(__xludf.DUMMYFUNCTION("""COMPUTED_VALUE"""),"DMG: +20000, Fire DMG: +10000 ++Forest Fire- Burn 10,000, x4 fire damage while in a natural environment.")</f>
        <v>DMG: +20000, Fire DMG: +10000 ++Forest Fire- Burn 10,000, x4 fire damage while in a natural environment.</v>
      </c>
      <c r="G287" s="2">
        <f>IFERROR(__xludf.DUMMYFUNCTION("""COMPUTED_VALUE"""),1.77E7)</f>
        <v>17700000</v>
      </c>
      <c r="H287" s="2"/>
      <c r="I287" s="2"/>
      <c r="J287" s="2"/>
      <c r="K287" s="2"/>
      <c r="L287" s="2"/>
      <c r="M287" s="2"/>
      <c r="N287" s="2"/>
      <c r="O287" s="2"/>
      <c r="P287" s="2"/>
      <c r="Q287" s="2"/>
      <c r="R287" s="2"/>
      <c r="S287" s="2"/>
      <c r="T287" s="2"/>
      <c r="U287" s="2"/>
      <c r="V287" s="2"/>
      <c r="W287" s="2"/>
      <c r="X287" s="2"/>
      <c r="Y287" s="2"/>
      <c r="Z287" s="2"/>
    </row>
    <row r="288">
      <c r="A288" s="2" t="str">
        <f>IFERROR(__xludf.DUMMYFUNCTION("""COMPUTED_VALUE"""),"Sword of The Crystal Chosen")</f>
        <v>Sword of The Crystal Chosen</v>
      </c>
      <c r="B288" s="2"/>
      <c r="C288" s="2" t="str">
        <f>IFERROR(__xludf.DUMMYFUNCTION("""COMPUTED_VALUE"""),"Sword")</f>
        <v>Sword</v>
      </c>
      <c r="D288" s="2" t="str">
        <f>IFERROR(__xludf.DUMMYFUNCTION("""COMPUTED_VALUE"""),"Hand")</f>
        <v>Hand</v>
      </c>
      <c r="E288" s="2">
        <f>IFERROR(__xludf.DUMMYFUNCTION("""COMPUTED_VALUE"""),400.0)</f>
        <v>400</v>
      </c>
      <c r="F288" s="2" t="str">
        <f>IFERROR(__xludf.DUMMYFUNCTION("""COMPUTED_VALUE"""),"DMG: +10000, Earth DMG: +10000 ++The Chosen Crystal - When Equipped any damage dealt by a Crystal or Gem related weapon is X4. +-Cannot be duplicated.")</f>
        <v>DMG: +10000, Earth DMG: +10000 ++The Chosen Crystal - When Equipped any damage dealt by a Crystal or Gem related weapon is X4. +-Cannot be duplicated.</v>
      </c>
      <c r="G288" s="2">
        <f>IFERROR(__xludf.DUMMYFUNCTION("""COMPUTED_VALUE"""),7800000.0)</f>
        <v>7800000</v>
      </c>
      <c r="H288" s="2"/>
      <c r="I288" s="2"/>
      <c r="J288" s="2"/>
      <c r="K288" s="2"/>
      <c r="L288" s="2"/>
      <c r="M288" s="2"/>
      <c r="N288" s="2"/>
      <c r="O288" s="2"/>
      <c r="P288" s="2"/>
      <c r="Q288" s="2"/>
      <c r="R288" s="2"/>
      <c r="S288" s="2"/>
      <c r="T288" s="2"/>
      <c r="U288" s="2"/>
      <c r="V288" s="2"/>
      <c r="W288" s="2"/>
      <c r="X288" s="2"/>
      <c r="Y288" s="2"/>
      <c r="Z288" s="2"/>
    </row>
    <row r="289">
      <c r="A289" s="2" t="str">
        <f>IFERROR(__xludf.DUMMYFUNCTION("""COMPUTED_VALUE"""),"Sword Of The Cursed Naga")</f>
        <v>Sword Of The Cursed Naga</v>
      </c>
      <c r="B289" s="2"/>
      <c r="C289" s="2" t="str">
        <f>IFERROR(__xludf.DUMMYFUNCTION("""COMPUTED_VALUE"""),"Sword")</f>
        <v>Sword</v>
      </c>
      <c r="D289" s="2" t="str">
        <f>IFERROR(__xludf.DUMMYFUNCTION("""COMPUTED_VALUE"""),"Hand")</f>
        <v>Hand</v>
      </c>
      <c r="E289" s="2">
        <f>IFERROR(__xludf.DUMMYFUNCTION("""COMPUTED_VALUE"""),200.0)</f>
        <v>200</v>
      </c>
      <c r="F289" s="2" t="str">
        <f>IFERROR(__xludf.DUMMYFUNCTION("""COMPUTED_VALUE"""),"DMG: +10000, Earth DMG: +50000, Blood DMG: +50000, Celestial DMG: +10000 ++Earth Charmer - Earth attacks will deal an additional X4 damage while this weapon is equipped.
++Poison Charmer - Poison 50,000 p/r.")</f>
        <v>DMG: +10000, Earth DMG: +50000, Blood DMG: +50000, Celestial DMG: +10000 ++Earth Charmer - Earth attacks will deal an additional X4 damage while this weapon is equipped.
++Poison Charmer - Poison 50,000 p/r.</v>
      </c>
      <c r="G289" s="2">
        <f>IFERROR(__xludf.DUMMYFUNCTION("""COMPUTED_VALUE"""),2.868E8)</f>
        <v>286800000</v>
      </c>
      <c r="H289" s="2"/>
      <c r="I289" s="2"/>
      <c r="J289" s="2"/>
      <c r="K289" s="2"/>
      <c r="L289" s="2"/>
      <c r="M289" s="2"/>
      <c r="N289" s="2"/>
      <c r="O289" s="2"/>
      <c r="P289" s="2"/>
      <c r="Q289" s="2"/>
      <c r="R289" s="2"/>
      <c r="S289" s="2"/>
      <c r="T289" s="2"/>
      <c r="U289" s="2"/>
      <c r="V289" s="2"/>
      <c r="W289" s="2"/>
      <c r="X289" s="2"/>
      <c r="Y289" s="2"/>
      <c r="Z289" s="2"/>
    </row>
    <row r="290">
      <c r="A290" s="2" t="str">
        <f>IFERROR(__xludf.DUMMYFUNCTION("""COMPUTED_VALUE"""),"Sword Of The Dragons Blood")</f>
        <v>Sword Of The Dragons Blood</v>
      </c>
      <c r="B290" s="2"/>
      <c r="C290" s="2" t="str">
        <f>IFERROR(__xludf.DUMMYFUNCTION("""COMPUTED_VALUE"""),"Sword")</f>
        <v>Sword</v>
      </c>
      <c r="D290" s="2" t="str">
        <f>IFERROR(__xludf.DUMMYFUNCTION("""COMPUTED_VALUE"""),"Hand")</f>
        <v>Hand</v>
      </c>
      <c r="E290" s="2">
        <f>IFERROR(__xludf.DUMMYFUNCTION("""COMPUTED_VALUE"""),1500.0)</f>
        <v>1500</v>
      </c>
      <c r="F290" s="2" t="str">
        <f>IFERROR(__xludf.DUMMYFUNCTION("""COMPUTED_VALUE"""),"DMG: +50000, Blood DMG: +25000 ++Burning Blood: Upon a successful hit; 5000 bleed and burn until the enemy dies.")</f>
        <v>DMG: +50000, Blood DMG: +25000 ++Burning Blood: Upon a successful hit; 5000 bleed and burn until the enemy dies.</v>
      </c>
      <c r="G290" s="2">
        <f>IFERROR(__xludf.DUMMYFUNCTION("""COMPUTED_VALUE"""),1.1175E8)</f>
        <v>111750000</v>
      </c>
      <c r="H290" s="2"/>
      <c r="I290" s="2"/>
      <c r="J290" s="2"/>
      <c r="K290" s="2"/>
      <c r="L290" s="2"/>
      <c r="M290" s="2"/>
      <c r="N290" s="2"/>
      <c r="O290" s="2"/>
      <c r="P290" s="2"/>
      <c r="Q290" s="2"/>
      <c r="R290" s="2"/>
      <c r="S290" s="2"/>
      <c r="T290" s="2"/>
      <c r="U290" s="2"/>
      <c r="V290" s="2"/>
      <c r="W290" s="2"/>
      <c r="X290" s="2"/>
      <c r="Y290" s="2"/>
      <c r="Z290" s="2"/>
    </row>
    <row r="291">
      <c r="A291" s="2" t="str">
        <f>IFERROR(__xludf.DUMMYFUNCTION("""COMPUTED_VALUE"""),"Sword of The Haunted Mansion")</f>
        <v>Sword of The Haunted Mansion</v>
      </c>
      <c r="B291" s="2" t="str">
        <f>IFERROR(__xludf.DUMMYFUNCTION("""COMPUTED_VALUE"""),"Halloween exclusive")</f>
        <v>Halloween exclusive</v>
      </c>
      <c r="C291" s="2" t="str">
        <f>IFERROR(__xludf.DUMMYFUNCTION("""COMPUTED_VALUE"""),"Sword")</f>
        <v>Sword</v>
      </c>
      <c r="D291" s="2" t="str">
        <f>IFERROR(__xludf.DUMMYFUNCTION("""COMPUTED_VALUE"""),"Hand")</f>
        <v>Hand</v>
      </c>
      <c r="E291" s="2">
        <f>IFERROR(__xludf.DUMMYFUNCTION("""COMPUTED_VALUE"""),200.0)</f>
        <v>200</v>
      </c>
      <c r="F291" s="2" t="str">
        <f>IFERROR(__xludf.DUMMYFUNCTION("""COMPUTED_VALUE"""),"DMG: +20000, Fire DMG: +20000, Dark DMG: +20000, Chaos DMG: +20000, Celestial DMG: +20000 ++Hallows Welcome: All enemies roll a d20 at the beginning of battle; All enemies that roll a 10 or lower start with 0 base defense and 0 evasion, All enemies that r"&amp;"oll a 11 or higher start with X2 defense and ++5 additional evasion. +-Cannot be forged +-Cannot be duplicated")</f>
        <v>DMG: +20000, Fire DMG: +20000, Dark DMG: +20000, Chaos DMG: +20000, Celestial DMG: +20000 ++Hallows Welcome: All enemies roll a d20 at the beginning of battle; All enemies that roll a 10 or lower start with 0 base defense and 0 evasion, All enemies that roll a 11 or higher start with X2 defense and ++5 additional evasion. +-Cannot be forged +-Cannot be duplicated</v>
      </c>
      <c r="G291" s="2">
        <f>IFERROR(__xludf.DUMMYFUNCTION("""COMPUTED_VALUE"""),1.99E8)</f>
        <v>199000000</v>
      </c>
      <c r="H291" s="2"/>
      <c r="I291" s="2"/>
      <c r="J291" s="2"/>
      <c r="K291" s="2"/>
      <c r="L291" s="2"/>
      <c r="M291" s="2"/>
      <c r="N291" s="2"/>
      <c r="O291" s="2"/>
      <c r="P291" s="2"/>
      <c r="Q291" s="2"/>
      <c r="R291" s="2"/>
      <c r="S291" s="2"/>
      <c r="T291" s="2"/>
      <c r="U291" s="2"/>
      <c r="V291" s="2"/>
      <c r="W291" s="2"/>
      <c r="X291" s="2"/>
      <c r="Y291" s="2"/>
      <c r="Z291" s="2"/>
    </row>
    <row r="292">
      <c r="A292" s="2" t="str">
        <f>IFERROR(__xludf.DUMMYFUNCTION("""COMPUTED_VALUE"""),"Sword Of The Honorable Samurai")</f>
        <v>Sword Of The Honorable Samurai</v>
      </c>
      <c r="B292" s="2"/>
      <c r="C292" s="2" t="str">
        <f>IFERROR(__xludf.DUMMYFUNCTION("""COMPUTED_VALUE"""),"Sword")</f>
        <v>Sword</v>
      </c>
      <c r="D292" s="2" t="str">
        <f>IFERROR(__xludf.DUMMYFUNCTION("""COMPUTED_VALUE"""),"Hand")</f>
        <v>Hand</v>
      </c>
      <c r="E292" s="2">
        <f>IFERROR(__xludf.DUMMYFUNCTION("""COMPUTED_VALUE"""),400.0)</f>
        <v>400</v>
      </c>
      <c r="F292" s="2" t="str">
        <f>IFERROR(__xludf.DUMMYFUNCTION("""COMPUTED_VALUE"""),"DMG: +10000, Light DMG: +5000, Order DMG: +5000")</f>
        <v>DMG: +10000, Light DMG: +5000, Order DMG: +5000</v>
      </c>
      <c r="G292" s="2">
        <f>IFERROR(__xludf.DUMMYFUNCTION("""COMPUTED_VALUE"""),7800000.0)</f>
        <v>7800000</v>
      </c>
      <c r="H292" s="2"/>
      <c r="I292" s="2"/>
      <c r="J292" s="2"/>
      <c r="K292" s="2"/>
      <c r="L292" s="2"/>
      <c r="M292" s="2"/>
      <c r="N292" s="2"/>
      <c r="O292" s="2"/>
      <c r="P292" s="2"/>
      <c r="Q292" s="2"/>
      <c r="R292" s="2"/>
      <c r="S292" s="2"/>
      <c r="T292" s="2"/>
      <c r="U292" s="2"/>
      <c r="V292" s="2"/>
      <c r="W292" s="2"/>
      <c r="X292" s="2"/>
      <c r="Y292" s="2"/>
      <c r="Z292" s="2"/>
    </row>
    <row r="293">
      <c r="A293" s="2" t="str">
        <f>IFERROR(__xludf.DUMMYFUNCTION("""COMPUTED_VALUE"""),"Sword of The Crystal King")</f>
        <v>Sword of The Crystal King</v>
      </c>
      <c r="B293" s="2"/>
      <c r="C293" s="2" t="str">
        <f>IFERROR(__xludf.DUMMYFUNCTION("""COMPUTED_VALUE"""),"Sword")</f>
        <v>Sword</v>
      </c>
      <c r="D293" s="2" t="str">
        <f>IFERROR(__xludf.DUMMYFUNCTION("""COMPUTED_VALUE"""),"Hand")</f>
        <v>Hand</v>
      </c>
      <c r="E293" s="2">
        <f>IFERROR(__xludf.DUMMYFUNCTION("""COMPUTED_VALUE"""),200.0)</f>
        <v>200</v>
      </c>
      <c r="F293" s="2" t="str">
        <f>IFERROR(__xludf.DUMMYFUNCTION("""COMPUTED_VALUE"""),"DMG: +20000, Earth DMG: +20000, Celestial DMG: +10000 ++Crystal Kings Power - Damage dealt by this weapon gives you SP back equal to the damage you deal. ++ Crystal Embodyment - When Equipped any damage dealt by a Crystal or Gem related weapon is X8 for t"&amp;"he user. +-Cannot be duplicated.")</f>
        <v>DMG: +20000, Earth DMG: +20000, Celestial DMG: +10000 ++Crystal Kings Power - Damage dealt by this weapon gives you SP back equal to the damage you deal. ++ Crystal Embodyment - When Equipped any damage dealt by a Crystal or Gem related weapon is X8 for the user. +-Cannot be duplicated.</v>
      </c>
      <c r="G293" s="2">
        <f>IFERROR(__xludf.DUMMYFUNCTION("""COMPUTED_VALUE"""),4.95E7)</f>
        <v>49500000</v>
      </c>
      <c r="H293" s="2"/>
      <c r="I293" s="2"/>
      <c r="J293" s="2"/>
      <c r="K293" s="2"/>
      <c r="L293" s="2"/>
      <c r="M293" s="2"/>
      <c r="N293" s="2"/>
      <c r="O293" s="2"/>
      <c r="P293" s="2"/>
      <c r="Q293" s="2"/>
      <c r="R293" s="2"/>
      <c r="S293" s="2"/>
      <c r="T293" s="2"/>
      <c r="U293" s="2"/>
      <c r="V293" s="2"/>
      <c r="W293" s="2"/>
      <c r="X293" s="2"/>
      <c r="Y293" s="2"/>
      <c r="Z293" s="2"/>
    </row>
    <row r="294">
      <c r="A294" s="2" t="str">
        <f>IFERROR(__xludf.DUMMYFUNCTION("""COMPUTED_VALUE"""),"Sword of The Many Heroes")</f>
        <v>Sword of The Many Heroes</v>
      </c>
      <c r="B294" s="2"/>
      <c r="C294" s="2" t="str">
        <f>IFERROR(__xludf.DUMMYFUNCTION("""COMPUTED_VALUE"""),"Sword")</f>
        <v>Sword</v>
      </c>
      <c r="D294" s="2" t="str">
        <f>IFERROR(__xludf.DUMMYFUNCTION("""COMPUTED_VALUE"""),"Hand")</f>
        <v>Hand</v>
      </c>
      <c r="E294" s="2">
        <f>IFERROR(__xludf.DUMMYFUNCTION("""COMPUTED_VALUE"""),200.0)</f>
        <v>200</v>
      </c>
      <c r="F294" s="2" t="str">
        <f>IFERROR(__xludf.DUMMYFUNCTION("""COMPUTED_VALUE"""),"DMG: +100000, Celestial DMG: +500000 ++While you have this sword equipped and you have 4+ party members among your party, You and your allies deal X4 additional damage with weapons only. +-Cannot be duplicated")</f>
        <v>DMG: +100000, Celestial DMG: +500000 ++While you have this sword equipped and you have 4+ party members among your party, You and your allies deal X4 additional damage with weapons only. +-Cannot be duplicated</v>
      </c>
      <c r="G294" s="2">
        <f>IFERROR(__xludf.DUMMYFUNCTION("""COMPUTED_VALUE"""),7.194E9)</f>
        <v>7194000000</v>
      </c>
      <c r="H294" s="2"/>
      <c r="I294" s="2"/>
      <c r="J294" s="2"/>
      <c r="K294" s="2"/>
      <c r="L294" s="2"/>
      <c r="M294" s="2"/>
      <c r="N294" s="2"/>
      <c r="O294" s="2"/>
      <c r="P294" s="2"/>
      <c r="Q294" s="2"/>
      <c r="R294" s="2"/>
      <c r="S294" s="2"/>
      <c r="T294" s="2"/>
      <c r="U294" s="2"/>
      <c r="V294" s="2"/>
      <c r="W294" s="2"/>
      <c r="X294" s="2"/>
      <c r="Y294" s="2"/>
      <c r="Z294" s="2"/>
    </row>
    <row r="295">
      <c r="A295" s="2" t="str">
        <f>IFERROR(__xludf.DUMMYFUNCTION("""COMPUTED_VALUE"""),"Sword Of The Reaper")</f>
        <v>Sword Of The Reaper</v>
      </c>
      <c r="B295" s="2"/>
      <c r="C295" s="2" t="str">
        <f>IFERROR(__xludf.DUMMYFUNCTION("""COMPUTED_VALUE"""),"Sword")</f>
        <v>Sword</v>
      </c>
      <c r="D295" s="2" t="str">
        <f>IFERROR(__xludf.DUMMYFUNCTION("""COMPUTED_VALUE"""),"Hand")</f>
        <v>Hand</v>
      </c>
      <c r="E295" s="2">
        <f>IFERROR(__xludf.DUMMYFUNCTION("""COMPUTED_VALUE"""),200.0)</f>
        <v>200</v>
      </c>
      <c r="F295" s="2" t="str">
        <f>IFERROR(__xludf.DUMMYFUNCTION("""COMPUTED_VALUE"""),"DMG: +5000, Celestial DMG: +1000 ++Stop Targeting Me! - When targeted for an attack the base damage of this weapon will be increased by 1000 damage for the battle only.")</f>
        <v>DMG: +5000, Celestial DMG: +1000 ++Stop Targeting Me! - When targeted for an attack the base damage of this weapon will be increased by 1000 damage for the battle only.</v>
      </c>
      <c r="G295" s="2">
        <f>IFERROR(__xludf.DUMMYFUNCTION("""COMPUTED_VALUE"""),660000.0)</f>
        <v>660000</v>
      </c>
      <c r="H295" s="2"/>
      <c r="I295" s="2"/>
      <c r="J295" s="2"/>
      <c r="K295" s="2"/>
      <c r="L295" s="2"/>
      <c r="M295" s="2"/>
      <c r="N295" s="2"/>
      <c r="O295" s="2"/>
      <c r="P295" s="2"/>
      <c r="Q295" s="2"/>
      <c r="R295" s="2"/>
      <c r="S295" s="2"/>
      <c r="T295" s="2"/>
      <c r="U295" s="2"/>
      <c r="V295" s="2"/>
      <c r="W295" s="2"/>
      <c r="X295" s="2"/>
      <c r="Y295" s="2"/>
      <c r="Z295" s="2"/>
    </row>
    <row r="296">
      <c r="A296" s="2" t="str">
        <f>IFERROR(__xludf.DUMMYFUNCTION("""COMPUTED_VALUE"""),"Sword of The Sea Serpent")</f>
        <v>Sword of The Sea Serpent</v>
      </c>
      <c r="B296" s="2"/>
      <c r="C296" s="2" t="str">
        <f>IFERROR(__xludf.DUMMYFUNCTION("""COMPUTED_VALUE"""),"Sword")</f>
        <v>Sword</v>
      </c>
      <c r="D296" s="2" t="str">
        <f>IFERROR(__xludf.DUMMYFUNCTION("""COMPUTED_VALUE"""),"Hand")</f>
        <v>Hand</v>
      </c>
      <c r="E296" s="2">
        <f>IFERROR(__xludf.DUMMYFUNCTION("""COMPUTED_VALUE"""),400.0)</f>
        <v>400</v>
      </c>
      <c r="F296" s="2" t="str">
        <f>IFERROR(__xludf.DUMMYFUNCTION("""COMPUTED_VALUE"""),"DMG: +10000, Water DMG: +10000 ++X2 Additional water damage for self, ++Sea Serpents Call: Upon a succesful hit there will be a 50% chance of summoning a sea serpent to aid you in battle if the battle is in water.")</f>
        <v>DMG: +10000, Water DMG: +10000 ++X2 Additional water damage for self, ++Sea Serpents Call: Upon a succesful hit there will be a 50% chance of summoning a sea serpent to aid you in battle if the battle is in water.</v>
      </c>
      <c r="G296" s="2">
        <f>IFERROR(__xludf.DUMMYFUNCTION("""COMPUTED_VALUE"""),7800000.0)</f>
        <v>7800000</v>
      </c>
      <c r="H296" s="2"/>
      <c r="I296" s="2"/>
      <c r="J296" s="2"/>
      <c r="K296" s="2"/>
      <c r="L296" s="2"/>
      <c r="M296" s="2"/>
      <c r="N296" s="2"/>
      <c r="O296" s="2"/>
      <c r="P296" s="2"/>
      <c r="Q296" s="2"/>
      <c r="R296" s="2"/>
      <c r="S296" s="2"/>
      <c r="T296" s="2"/>
      <c r="U296" s="2"/>
      <c r="V296" s="2"/>
      <c r="W296" s="2"/>
      <c r="X296" s="2"/>
      <c r="Y296" s="2"/>
      <c r="Z296" s="2"/>
    </row>
    <row r="297">
      <c r="A297" s="2" t="str">
        <f>IFERROR(__xludf.DUMMYFUNCTION("""COMPUTED_VALUE"""),"Sword of the Vampire’s Lust")</f>
        <v>Sword of the Vampire’s Lust</v>
      </c>
      <c r="B297" s="2"/>
      <c r="C297" s="2" t="str">
        <f>IFERROR(__xludf.DUMMYFUNCTION("""COMPUTED_VALUE"""),"Sword")</f>
        <v>Sword</v>
      </c>
      <c r="D297" s="2" t="str">
        <f>IFERROR(__xludf.DUMMYFUNCTION("""COMPUTED_VALUE"""),"Hand")</f>
        <v>Hand</v>
      </c>
      <c r="E297" s="2">
        <f>IFERROR(__xludf.DUMMYFUNCTION("""COMPUTED_VALUE"""),800.0)</f>
        <v>800</v>
      </c>
      <c r="F297" s="2" t="str">
        <f>IFERROR(__xludf.DUMMYFUNCTION("""COMPUTED_VALUE"""),"DMG: +10000, Fire DMG: +10000, Dark DMG: +10000, Spirit DMG: +5000, Chaos DMG: +5000 ++Damage dealt by this weapon gives you hp back equal to the damage you deal")</f>
        <v>DMG: +10000, Fire DMG: +10000, Dark DMG: +10000, Spirit DMG: +5000, Chaos DMG: +5000 ++Damage dealt by this weapon gives you hp back equal to the damage you deal</v>
      </c>
      <c r="G297" s="2">
        <f>IFERROR(__xludf.DUMMYFUNCTION("""COMPUTED_VALUE"""),3.16E7)</f>
        <v>31600000</v>
      </c>
      <c r="H297" s="2"/>
      <c r="I297" s="2"/>
      <c r="J297" s="2"/>
      <c r="K297" s="2"/>
      <c r="L297" s="2"/>
      <c r="M297" s="2"/>
      <c r="N297" s="2"/>
      <c r="O297" s="2"/>
      <c r="P297" s="2"/>
      <c r="Q297" s="2"/>
      <c r="R297" s="2"/>
      <c r="S297" s="2"/>
      <c r="T297" s="2"/>
      <c r="U297" s="2"/>
      <c r="V297" s="2"/>
      <c r="W297" s="2"/>
      <c r="X297" s="2"/>
      <c r="Y297" s="2"/>
      <c r="Z297" s="2"/>
    </row>
    <row r="298">
      <c r="A298" s="2" t="str">
        <f>IFERROR(__xludf.DUMMYFUNCTION("""COMPUTED_VALUE"""),"Sword of The Waking Waters")</f>
        <v>Sword of The Waking Waters</v>
      </c>
      <c r="B298" s="2"/>
      <c r="C298" s="2" t="str">
        <f>IFERROR(__xludf.DUMMYFUNCTION("""COMPUTED_VALUE"""),"Sword")</f>
        <v>Sword</v>
      </c>
      <c r="D298" s="2" t="str">
        <f>IFERROR(__xludf.DUMMYFUNCTION("""COMPUTED_VALUE"""),"Hand")</f>
        <v>Hand</v>
      </c>
      <c r="E298" s="2">
        <f>IFERROR(__xludf.DUMMYFUNCTION("""COMPUTED_VALUE"""),800.0)</f>
        <v>800</v>
      </c>
      <c r="F298" s="2" t="str">
        <f>IFERROR(__xludf.DUMMYFUNCTION("""COMPUTED_VALUE"""),"DMG: +20000, Water DMG: +20000 ++X4 additional Water damage for this weapon only. ++Waking Waters: When the battle is in water and you are attacking with this weapon your d20 roll becomes double. +-Cannot be duplicated")</f>
        <v>DMG: +20000, Water DMG: +20000 ++X4 additional Water damage for this weapon only. ++Waking Waters: When the battle is in water and you are attacking with this weapon your d20 roll becomes double. +-Cannot be duplicated</v>
      </c>
      <c r="G298" s="2">
        <f>IFERROR(__xludf.DUMMYFUNCTION("""COMPUTED_VALUE"""),3.16E7)</f>
        <v>31600000</v>
      </c>
      <c r="H298" s="2"/>
      <c r="I298" s="2"/>
      <c r="J298" s="2"/>
      <c r="K298" s="2"/>
      <c r="L298" s="2"/>
      <c r="M298" s="2"/>
      <c r="N298" s="2"/>
      <c r="O298" s="2"/>
      <c r="P298" s="2"/>
      <c r="Q298" s="2"/>
      <c r="R298" s="2"/>
      <c r="S298" s="2"/>
      <c r="T298" s="2"/>
      <c r="U298" s="2"/>
      <c r="V298" s="2"/>
      <c r="W298" s="2"/>
      <c r="X298" s="2"/>
      <c r="Y298" s="2"/>
      <c r="Z298" s="2"/>
    </row>
    <row r="299">
      <c r="A299" s="2" t="str">
        <f>IFERROR(__xludf.DUMMYFUNCTION("""COMPUTED_VALUE"""),"Sword of the Wicked")</f>
        <v>Sword of the Wicked</v>
      </c>
      <c r="B299" s="2"/>
      <c r="C299" s="2" t="str">
        <f>IFERROR(__xludf.DUMMYFUNCTION("""COMPUTED_VALUE"""),"Sword")</f>
        <v>Sword</v>
      </c>
      <c r="D299" s="2" t="str">
        <f>IFERROR(__xludf.DUMMYFUNCTION("""COMPUTED_VALUE"""),"Hand")</f>
        <v>Hand</v>
      </c>
      <c r="E299" s="2">
        <f>IFERROR(__xludf.DUMMYFUNCTION("""COMPUTED_VALUE"""),50.0)</f>
        <v>50</v>
      </c>
      <c r="F299" s="2" t="str">
        <f>IFERROR(__xludf.DUMMYFUNCTION("""COMPUTED_VALUE"""),"DMG: +700, Dark DMG: +900, Chaos DMG: +900")</f>
        <v>DMG: +700, Dark DMG: +900, Chaos DMG: +900</v>
      </c>
      <c r="G299" s="2">
        <f>IFERROR(__xludf.DUMMYFUNCTION("""COMPUTED_VALUE"""),100000.0)</f>
        <v>100000</v>
      </c>
      <c r="H299" s="2"/>
      <c r="I299" s="2"/>
      <c r="J299" s="2"/>
      <c r="K299" s="2"/>
      <c r="L299" s="2"/>
      <c r="M299" s="2"/>
      <c r="N299" s="2"/>
      <c r="O299" s="2"/>
      <c r="P299" s="2"/>
      <c r="Q299" s="2"/>
      <c r="R299" s="2"/>
      <c r="S299" s="2"/>
      <c r="T299" s="2"/>
      <c r="U299" s="2"/>
      <c r="V299" s="2"/>
      <c r="W299" s="2"/>
      <c r="X299" s="2"/>
      <c r="Y299" s="2"/>
      <c r="Z299" s="2"/>
    </row>
    <row r="300">
      <c r="A300" s="2" t="str">
        <f>IFERROR(__xludf.DUMMYFUNCTION("""COMPUTED_VALUE"""),"Sword Of Tritonoch")</f>
        <v>Sword Of Tritonoch</v>
      </c>
      <c r="B300" s="2"/>
      <c r="C300" s="2" t="str">
        <f>IFERROR(__xludf.DUMMYFUNCTION("""COMPUTED_VALUE"""),"Sword")</f>
        <v>Sword</v>
      </c>
      <c r="D300" s="2" t="str">
        <f>IFERROR(__xludf.DUMMYFUNCTION("""COMPUTED_VALUE"""),"Hand")</f>
        <v>Hand</v>
      </c>
      <c r="E300" s="2">
        <f>IFERROR(__xludf.DUMMYFUNCTION("""COMPUTED_VALUE"""),800.0)</f>
        <v>800</v>
      </c>
      <c r="F300" s="2" t="str">
        <f>IFERROR(__xludf.DUMMYFUNCTION("""COMPUTED_VALUE"""),"DMG: +20000, Water DMG: +20000 ++Order of Atlanteans - +2 to your d20 roll, +5 charisma, ++Waves of Entitlement - x5 additional Water damage. +-Cannot be duplicated.")</f>
        <v>DMG: +20000, Water DMG: +20000 ++Order of Atlanteans - +2 to your d20 roll, +5 charisma, ++Waves of Entitlement - x5 additional Water damage. +-Cannot be duplicated.</v>
      </c>
      <c r="G300" s="2">
        <f>IFERROR(__xludf.DUMMYFUNCTION("""COMPUTED_VALUE"""),3.16E7)</f>
        <v>31600000</v>
      </c>
      <c r="H300" s="2"/>
      <c r="I300" s="2"/>
      <c r="J300" s="2"/>
      <c r="K300" s="2"/>
      <c r="L300" s="2"/>
      <c r="M300" s="2"/>
      <c r="N300" s="2"/>
      <c r="O300" s="2"/>
      <c r="P300" s="2"/>
      <c r="Q300" s="2"/>
      <c r="R300" s="2"/>
      <c r="S300" s="2"/>
      <c r="T300" s="2"/>
      <c r="U300" s="2"/>
      <c r="V300" s="2"/>
      <c r="W300" s="2"/>
      <c r="X300" s="2"/>
      <c r="Y300" s="2"/>
      <c r="Z300" s="2"/>
    </row>
    <row r="301">
      <c r="A301" s="2" t="str">
        <f>IFERROR(__xludf.DUMMYFUNCTION("""COMPUTED_VALUE"""),"Tentacle")</f>
        <v>Tentacle</v>
      </c>
      <c r="B301" s="2"/>
      <c r="C301" s="2" t="str">
        <f>IFERROR(__xludf.DUMMYFUNCTION("""COMPUTED_VALUE"""),"Claw")</f>
        <v>Claw</v>
      </c>
      <c r="D301" s="2" t="str">
        <f>IFERROR(__xludf.DUMMYFUNCTION("""COMPUTED_VALUE"""),"Hand")</f>
        <v>Hand</v>
      </c>
      <c r="E301" s="2">
        <f>IFERROR(__xludf.DUMMYFUNCTION("""COMPUTED_VALUE"""),30.0)</f>
        <v>30</v>
      </c>
      <c r="F301" s="2" t="str">
        <f>IFERROR(__xludf.DUMMYFUNCTION("""COMPUTED_VALUE"""),"DMG: +1000, Water DMG: +500 ++10% chance to remove target from battle")</f>
        <v>DMG: +1000, Water DMG: +500 ++10% chance to remove target from battle</v>
      </c>
      <c r="G301" s="2">
        <f>IFERROR(__xludf.DUMMYFUNCTION("""COMPUTED_VALUE"""),30000.0)</f>
        <v>30000</v>
      </c>
      <c r="H301" s="2"/>
      <c r="I301" s="2"/>
      <c r="J301" s="2"/>
      <c r="K301" s="2"/>
      <c r="L301" s="2"/>
      <c r="M301" s="2"/>
      <c r="N301" s="2"/>
      <c r="O301" s="2"/>
      <c r="P301" s="2"/>
      <c r="Q301" s="2"/>
      <c r="R301" s="2"/>
      <c r="S301" s="2"/>
      <c r="T301" s="2"/>
      <c r="U301" s="2"/>
      <c r="V301" s="2"/>
      <c r="W301" s="2"/>
      <c r="X301" s="2"/>
      <c r="Y301" s="2"/>
      <c r="Z301" s="2"/>
    </row>
    <row r="302">
      <c r="A302" s="2" t="str">
        <f>IFERROR(__xludf.DUMMYFUNCTION("""COMPUTED_VALUE"""),"The Black Hook")</f>
        <v>The Black Hook</v>
      </c>
      <c r="B302" s="2"/>
      <c r="C302" s="2" t="str">
        <f>IFERROR(__xludf.DUMMYFUNCTION("""COMPUTED_VALUE"""),"Claw")</f>
        <v>Claw</v>
      </c>
      <c r="D302" s="2" t="str">
        <f>IFERROR(__xludf.DUMMYFUNCTION("""COMPUTED_VALUE"""),"Hand")</f>
        <v>Hand</v>
      </c>
      <c r="E302" s="2">
        <f>IFERROR(__xludf.DUMMYFUNCTION("""COMPUTED_VALUE"""),2500.0)</f>
        <v>2500</v>
      </c>
      <c r="F302" s="2" t="str">
        <f>IFERROR(__xludf.DUMMYFUNCTION("""COMPUTED_VALUE"""),"DMG: +50000, Dark DMG: +50000, Blood DMG: +25000 ++Increases blood and dark damage by X4 for the wielder of this claw, ++Decreases the HP cost of spells by half. ++35% chance to remove an enemy from battle")</f>
        <v>DMG: +50000, Dark DMG: +50000, Blood DMG: +25000 ++Increases blood and dark damage by X4 for the wielder of this claw, ++Decreases the HP cost of spells by half. ++35% chance to remove an enemy from battle</v>
      </c>
      <c r="G302" s="2">
        <f>IFERROR(__xludf.DUMMYFUNCTION("""COMPUTED_VALUE"""),3.1125E8)</f>
        <v>311250000</v>
      </c>
      <c r="H302" s="2"/>
      <c r="I302" s="2"/>
      <c r="J302" s="2"/>
      <c r="K302" s="2"/>
      <c r="L302" s="2"/>
      <c r="M302" s="2"/>
      <c r="N302" s="2"/>
      <c r="O302" s="2"/>
      <c r="P302" s="2"/>
      <c r="Q302" s="2"/>
      <c r="R302" s="2"/>
      <c r="S302" s="2"/>
      <c r="T302" s="2"/>
      <c r="U302" s="2"/>
      <c r="V302" s="2"/>
      <c r="W302" s="2"/>
      <c r="X302" s="2"/>
      <c r="Y302" s="2"/>
      <c r="Z302" s="2"/>
    </row>
    <row r="303">
      <c r="A303" s="2" t="str">
        <f>IFERROR(__xludf.DUMMYFUNCTION("""COMPUTED_VALUE"""),"The Blade of the Chosen")</f>
        <v>The Blade of the Chosen</v>
      </c>
      <c r="B303" s="2"/>
      <c r="C303" s="2" t="str">
        <f>IFERROR(__xludf.DUMMYFUNCTION("""COMPUTED_VALUE"""),"Sword")</f>
        <v>Sword</v>
      </c>
      <c r="D303" s="2" t="str">
        <f>IFERROR(__xludf.DUMMYFUNCTION("""COMPUTED_VALUE"""),"Hand")</f>
        <v>Hand</v>
      </c>
      <c r="E303" s="2">
        <f>IFERROR(__xludf.DUMMYFUNCTION("""COMPUTED_VALUE"""),1000.0)</f>
        <v>1000</v>
      </c>
      <c r="F303" s="2" t="str">
        <f>IFERROR(__xludf.DUMMYFUNCTION("""COMPUTED_VALUE"""),"DMG: +10000, Fire DMG: +10000, Order DMG: +10000, Nature DMG: +10000, Blood DMG: +10000 ++Roll a d20 at the beginning of battle, 11 or higher = double the users defense and damage dealt for the current battle, 10 or lower = half the users defense and dama"&amp;"ge dealt for the current battle.")</f>
        <v>DMG: +10000, Fire DMG: +10000, Order DMG: +10000, Nature DMG: +10000, Blood DMG: +10000 ++Roll a d20 at the beginning of battle, 11 or higher = double the users defense and damage dealt for the current battle, 10 or lower = half the users defense and damage dealt for the current battle.</v>
      </c>
      <c r="G303" s="2">
        <f>IFERROR(__xludf.DUMMYFUNCTION("""COMPUTED_VALUE"""),4.95E7)</f>
        <v>49500000</v>
      </c>
      <c r="H303" s="2"/>
      <c r="I303" s="2"/>
      <c r="J303" s="2"/>
      <c r="K303" s="2"/>
      <c r="L303" s="2"/>
      <c r="M303" s="2"/>
      <c r="N303" s="2"/>
      <c r="O303" s="2"/>
      <c r="P303" s="2"/>
      <c r="Q303" s="2"/>
      <c r="R303" s="2"/>
      <c r="S303" s="2"/>
      <c r="T303" s="2"/>
      <c r="U303" s="2"/>
      <c r="V303" s="2"/>
      <c r="W303" s="2"/>
      <c r="X303" s="2"/>
      <c r="Y303" s="2"/>
      <c r="Z303" s="2"/>
    </row>
    <row r="304">
      <c r="A304" s="2" t="str">
        <f>IFERROR(__xludf.DUMMYFUNCTION("""COMPUTED_VALUE"""),"The Bow of the Fallen Hero")</f>
        <v>The Bow of the Fallen Hero</v>
      </c>
      <c r="B304" s="2"/>
      <c r="C304" s="2" t="str">
        <f>IFERROR(__xludf.DUMMYFUNCTION("""COMPUTED_VALUE"""),"Bow")</f>
        <v>Bow</v>
      </c>
      <c r="D304" s="2" t="str">
        <f>IFERROR(__xludf.DUMMYFUNCTION("""COMPUTED_VALUE"""),"Hand")</f>
        <v>Hand</v>
      </c>
      <c r="E304" s="2">
        <f>IFERROR(__xludf.DUMMYFUNCTION("""COMPUTED_VALUE"""),100.0)</f>
        <v>100</v>
      </c>
      <c r="F304" s="2" t="str">
        <f>IFERROR(__xludf.DUMMYFUNCTION("""COMPUTED_VALUE"""),"DMG: +5000 ++Dashing Arrows - You can use up to 6 arrows when attacking with this bow. ")</f>
        <v>DMG: +5000 ++Dashing Arrows - You can use up to 6 arrows when attacking with this bow. </v>
      </c>
      <c r="G304" s="2">
        <f>IFERROR(__xludf.DUMMYFUNCTION("""COMPUTED_VALUE"""),450000.0)</f>
        <v>450000</v>
      </c>
      <c r="H304" s="2"/>
      <c r="I304" s="2"/>
      <c r="J304" s="2"/>
      <c r="K304" s="2"/>
      <c r="L304" s="2"/>
      <c r="M304" s="2"/>
      <c r="N304" s="2"/>
      <c r="O304" s="2"/>
      <c r="P304" s="2"/>
      <c r="Q304" s="2"/>
      <c r="R304" s="2"/>
      <c r="S304" s="2"/>
      <c r="T304" s="2"/>
      <c r="U304" s="2"/>
      <c r="V304" s="2"/>
      <c r="W304" s="2"/>
      <c r="X304" s="2"/>
      <c r="Y304" s="2"/>
      <c r="Z304" s="2"/>
    </row>
    <row r="305">
      <c r="A305" s="2" t="str">
        <f>IFERROR(__xludf.DUMMYFUNCTION("""COMPUTED_VALUE"""),"The Bow of the Haunted")</f>
        <v>The Bow of the Haunted</v>
      </c>
      <c r="B305" s="2" t="str">
        <f>IFERROR(__xludf.DUMMYFUNCTION("""COMPUTED_VALUE"""),"Halloween exclusive")</f>
        <v>Halloween exclusive</v>
      </c>
      <c r="C305" s="2" t="str">
        <f>IFERROR(__xludf.DUMMYFUNCTION("""COMPUTED_VALUE"""),"Bow")</f>
        <v>Bow</v>
      </c>
      <c r="D305" s="2" t="str">
        <f>IFERROR(__xludf.DUMMYFUNCTION("""COMPUTED_VALUE"""),"Hand")</f>
        <v>Hand</v>
      </c>
      <c r="E305" s="2">
        <f>IFERROR(__xludf.DUMMYFUNCTION("""COMPUTED_VALUE"""),620.0)</f>
        <v>620</v>
      </c>
      <c r="F305" s="2" t="str">
        <f>IFERROR(__xludf.DUMMYFUNCTION("""COMPUTED_VALUE"""),"DMG: +1000, Fire DMG: +10000, Dark DMG: +10000, Chaos DMG: +10000 ++You can use d20 arrows when attacking with this bow, rolls to see how many. Dark and Chaos damage is doubled when attacking with this bow.")</f>
        <v>DMG: +1000, Fire DMG: +10000, Dark DMG: +10000, Chaos DMG: +10000 ++You can use d20 arrows when attacking with this bow, rolls to see how many. Dark and Chaos damage is doubled when attacking with this bow.</v>
      </c>
      <c r="G305" s="2">
        <f>IFERROR(__xludf.DUMMYFUNCTION("""COMPUTED_VALUE"""),1.891E7)</f>
        <v>18910000</v>
      </c>
      <c r="H305" s="2"/>
      <c r="I305" s="2"/>
      <c r="J305" s="2"/>
      <c r="K305" s="2"/>
      <c r="L305" s="2"/>
      <c r="M305" s="2"/>
      <c r="N305" s="2"/>
      <c r="O305" s="2"/>
      <c r="P305" s="2"/>
      <c r="Q305" s="2"/>
      <c r="R305" s="2"/>
      <c r="S305" s="2"/>
      <c r="T305" s="2"/>
      <c r="U305" s="2"/>
      <c r="V305" s="2"/>
      <c r="W305" s="2"/>
      <c r="X305" s="2"/>
      <c r="Y305" s="2"/>
      <c r="Z305" s="2"/>
    </row>
    <row r="306">
      <c r="A306" s="2" t="str">
        <f>IFERROR(__xludf.DUMMYFUNCTION("""COMPUTED_VALUE"""),"The Bow of the Pandarian")</f>
        <v>The Bow of the Pandarian</v>
      </c>
      <c r="B306" s="2"/>
      <c r="C306" s="2" t="str">
        <f>IFERROR(__xludf.DUMMYFUNCTION("""COMPUTED_VALUE"""),"Bow")</f>
        <v>Bow</v>
      </c>
      <c r="D306" s="2" t="str">
        <f>IFERROR(__xludf.DUMMYFUNCTION("""COMPUTED_VALUE"""),"Hand")</f>
        <v>Hand</v>
      </c>
      <c r="E306" s="2">
        <f>IFERROR(__xludf.DUMMYFUNCTION("""COMPUTED_VALUE"""),40.0)</f>
        <v>40</v>
      </c>
      <c r="F306" s="2" t="str">
        <f>IFERROR(__xludf.DUMMYFUNCTION("""COMPUTED_VALUE"""),"DMG: +2000 ++Half the Arrow - Ranged Spells cost half the sp cost, Ranger Enrage - All Ranged Attacks. do double in damage. ")</f>
        <v>DMG: +2000 ++Half the Arrow - Ranged Spells cost half the sp cost, Ranger Enrage - All Ranged Attacks. do double in damage. </v>
      </c>
      <c r="G306" s="2">
        <f>IFERROR(__xludf.DUMMYFUNCTION("""COMPUTED_VALUE"""),60000.0)</f>
        <v>60000</v>
      </c>
      <c r="H306" s="2"/>
      <c r="I306" s="2"/>
      <c r="J306" s="2"/>
      <c r="K306" s="2"/>
      <c r="L306" s="2"/>
      <c r="M306" s="2"/>
      <c r="N306" s="2"/>
      <c r="O306" s="2"/>
      <c r="P306" s="2"/>
      <c r="Q306" s="2"/>
      <c r="R306" s="2"/>
      <c r="S306" s="2"/>
      <c r="T306" s="2"/>
      <c r="U306" s="2"/>
      <c r="V306" s="2"/>
      <c r="W306" s="2"/>
      <c r="X306" s="2"/>
      <c r="Y306" s="2"/>
      <c r="Z306" s="2"/>
    </row>
    <row r="307">
      <c r="A307" s="2" t="str">
        <f>IFERROR(__xludf.DUMMYFUNCTION("""COMPUTED_VALUE"""),"The Buster")</f>
        <v>The Buster</v>
      </c>
      <c r="B307" s="2"/>
      <c r="C307" s="2" t="str">
        <f>IFERROR(__xludf.DUMMYFUNCTION("""COMPUTED_VALUE"""),"Sword")</f>
        <v>Sword</v>
      </c>
      <c r="D307" s="2" t="str">
        <f>IFERROR(__xludf.DUMMYFUNCTION("""COMPUTED_VALUE"""),"Hand")</f>
        <v>Hand</v>
      </c>
      <c r="E307" s="2">
        <f>IFERROR(__xludf.DUMMYFUNCTION("""COMPUTED_VALUE"""),400.0)</f>
        <v>400</v>
      </c>
      <c r="F307" s="2" t="str">
        <f>IFERROR(__xludf.DUMMYFUNCTION("""COMPUTED_VALUE"""),"DMG: +20000")</f>
        <v>DMG: +20000</v>
      </c>
      <c r="G307" s="2">
        <f>IFERROR(__xludf.DUMMYFUNCTION("""COMPUTED_VALUE"""),7800000.0)</f>
        <v>7800000</v>
      </c>
      <c r="H307" s="2"/>
      <c r="I307" s="2"/>
      <c r="J307" s="2"/>
      <c r="K307" s="2"/>
      <c r="L307" s="2"/>
      <c r="M307" s="2"/>
      <c r="N307" s="2"/>
      <c r="O307" s="2"/>
      <c r="P307" s="2"/>
      <c r="Q307" s="2"/>
      <c r="R307" s="2"/>
      <c r="S307" s="2"/>
      <c r="T307" s="2"/>
      <c r="U307" s="2"/>
      <c r="V307" s="2"/>
      <c r="W307" s="2"/>
      <c r="X307" s="2"/>
      <c r="Y307" s="2"/>
      <c r="Z307" s="2"/>
    </row>
    <row r="308">
      <c r="A308" s="2" t="str">
        <f>IFERROR(__xludf.DUMMYFUNCTION("""COMPUTED_VALUE"""),"The Dawn Splitter")</f>
        <v>The Dawn Splitter</v>
      </c>
      <c r="B308" s="2"/>
      <c r="C308" s="2" t="str">
        <f>IFERROR(__xludf.DUMMYFUNCTION("""COMPUTED_VALUE"""),"Sword")</f>
        <v>Sword</v>
      </c>
      <c r="D308" s="2" t="str">
        <f>IFERROR(__xludf.DUMMYFUNCTION("""COMPUTED_VALUE"""),"Hand")</f>
        <v>Hand</v>
      </c>
      <c r="E308" s="2">
        <f>IFERROR(__xludf.DUMMYFUNCTION("""COMPUTED_VALUE"""),200.0)</f>
        <v>200</v>
      </c>
      <c r="F308" s="2" t="str">
        <f>IFERROR(__xludf.DUMMYFUNCTION("""COMPUTED_VALUE"""),"DMG: +50000, Fire DMG: +50000, Dark DMG: +50000, Celestial DMG: +50000 ++50% Chance to put the target to sleep.")</f>
        <v>DMG: +50000, Fire DMG: +50000, Dark DMG: +50000, Celestial DMG: +50000 ++50% Chance to put the target to sleep.</v>
      </c>
      <c r="G308" s="2">
        <f>IFERROR(__xludf.DUMMYFUNCTION("""COMPUTED_VALUE"""),7.98E8)</f>
        <v>798000000</v>
      </c>
      <c r="H308" s="2"/>
      <c r="I308" s="2"/>
      <c r="J308" s="2"/>
      <c r="K308" s="2"/>
      <c r="L308" s="2"/>
      <c r="M308" s="2"/>
      <c r="N308" s="2"/>
      <c r="O308" s="2"/>
      <c r="P308" s="2"/>
      <c r="Q308" s="2"/>
      <c r="R308" s="2"/>
      <c r="S308" s="2"/>
      <c r="T308" s="2"/>
      <c r="U308" s="2"/>
      <c r="V308" s="2"/>
      <c r="W308" s="2"/>
      <c r="X308" s="2"/>
      <c r="Y308" s="2"/>
      <c r="Z308" s="2"/>
    </row>
    <row r="309">
      <c r="A309" s="2" t="str">
        <f>IFERROR(__xludf.DUMMYFUNCTION("""COMPUTED_VALUE"""),"The Dragon King's Crown")</f>
        <v>The Dragon King's Crown</v>
      </c>
      <c r="B309" s="2"/>
      <c r="C309" s="2"/>
      <c r="D309" s="2" t="str">
        <f>IFERROR(__xludf.DUMMYFUNCTION("""COMPUTED_VALUE"""),"Head")</f>
        <v>Head</v>
      </c>
      <c r="E309" s="2">
        <f>IFERROR(__xludf.DUMMYFUNCTION("""COMPUTED_VALUE"""),400.0)</f>
        <v>400</v>
      </c>
      <c r="F309" s="2" t="str">
        <f>IFERROR(__xludf.DUMMYFUNCTION("""COMPUTED_VALUE"""),"DEF: +20000 ++Immunity to damage from Natural Attacks...")</f>
        <v>DEF: +20000 ++Immunity to damage from Natural Attacks...</v>
      </c>
      <c r="G309" s="2">
        <f>IFERROR(__xludf.DUMMYFUNCTION("""COMPUTED_VALUE"""),7800000.0)</f>
        <v>7800000</v>
      </c>
      <c r="H309" s="2"/>
      <c r="I309" s="2"/>
      <c r="J309" s="2"/>
      <c r="K309" s="2"/>
      <c r="L309" s="2"/>
      <c r="M309" s="2"/>
      <c r="N309" s="2"/>
      <c r="O309" s="2"/>
      <c r="P309" s="2"/>
      <c r="Q309" s="2"/>
      <c r="R309" s="2"/>
      <c r="S309" s="2"/>
      <c r="T309" s="2"/>
      <c r="U309" s="2"/>
      <c r="V309" s="2"/>
      <c r="W309" s="2"/>
      <c r="X309" s="2"/>
      <c r="Y309" s="2"/>
      <c r="Z309" s="2"/>
    </row>
    <row r="310">
      <c r="A310" s="2" t="str">
        <f>IFERROR(__xludf.DUMMYFUNCTION("""COMPUTED_VALUE"""),"The Guardian Of Death's Sword")</f>
        <v>The Guardian Of Death's Sword</v>
      </c>
      <c r="B310" s="2"/>
      <c r="C310" s="2" t="str">
        <f>IFERROR(__xludf.DUMMYFUNCTION("""COMPUTED_VALUE"""),"Sword")</f>
        <v>Sword</v>
      </c>
      <c r="D310" s="2" t="str">
        <f>IFERROR(__xludf.DUMMYFUNCTION("""COMPUTED_VALUE"""),"Hand")</f>
        <v>Hand</v>
      </c>
      <c r="E310" s="2">
        <f>IFERROR(__xludf.DUMMYFUNCTION("""COMPUTED_VALUE"""),600.0)</f>
        <v>600</v>
      </c>
      <c r="F310" s="2" t="str">
        <f>IFERROR(__xludf.DUMMYFUNCTION("""COMPUTED_VALUE"""),"DMG: +15000, Dark DMG: +5000, Spirit DMG: +5000, Chaos DMG: +5000")</f>
        <v>DMG: +15000, Dark DMG: +5000, Spirit DMG: +5000, Chaos DMG: +5000</v>
      </c>
      <c r="G310" s="2">
        <f>IFERROR(__xludf.DUMMYFUNCTION("""COMPUTED_VALUE"""),1.77E7)</f>
        <v>17700000</v>
      </c>
      <c r="H310" s="2"/>
      <c r="I310" s="2"/>
      <c r="J310" s="2"/>
      <c r="K310" s="2"/>
      <c r="L310" s="2"/>
      <c r="M310" s="2"/>
      <c r="N310" s="2"/>
      <c r="O310" s="2"/>
      <c r="P310" s="2"/>
      <c r="Q310" s="2"/>
      <c r="R310" s="2"/>
      <c r="S310" s="2"/>
      <c r="T310" s="2"/>
      <c r="U310" s="2"/>
      <c r="V310" s="2"/>
      <c r="W310" s="2"/>
      <c r="X310" s="2"/>
      <c r="Y310" s="2"/>
      <c r="Z310" s="2"/>
    </row>
    <row r="311">
      <c r="A311" s="2" t="str">
        <f>IFERROR(__xludf.DUMMYFUNCTION("""COMPUTED_VALUE"""),"The Helm of Foul Night")</f>
        <v>The Helm of Foul Night</v>
      </c>
      <c r="B311" s="2"/>
      <c r="C311" s="2"/>
      <c r="D311" s="2" t="str">
        <f>IFERROR(__xludf.DUMMYFUNCTION("""COMPUTED_VALUE"""),"Head")</f>
        <v>Head</v>
      </c>
      <c r="E311" s="2">
        <f>IFERROR(__xludf.DUMMYFUNCTION("""COMPUTED_VALUE"""),200.0)</f>
        <v>200</v>
      </c>
      <c r="F311" s="2" t="str">
        <f>IFERROR(__xludf.DUMMYFUNCTION("""COMPUTED_VALUE"""),"DEF: +5000, Nature DEF: +5000 (Foul Night Set) ++X2 Nature and Poison damage. ++Poison Immunity. ")</f>
        <v>DEF: +5000, Nature DEF: +5000 (Foul Night Set) ++X2 Nature and Poison damage. ++Poison Immunity. </v>
      </c>
      <c r="G311" s="2">
        <f>IFERROR(__xludf.DUMMYFUNCTION("""COMPUTED_VALUE"""),1900000.0)</f>
        <v>1900000</v>
      </c>
      <c r="H311" s="2"/>
      <c r="I311" s="2"/>
      <c r="J311" s="2"/>
      <c r="K311" s="2"/>
      <c r="L311" s="2"/>
      <c r="M311" s="2"/>
      <c r="N311" s="2"/>
      <c r="O311" s="2"/>
      <c r="P311" s="2"/>
      <c r="Q311" s="2"/>
      <c r="R311" s="2"/>
      <c r="S311" s="2"/>
      <c r="T311" s="2"/>
      <c r="U311" s="2"/>
      <c r="V311" s="2"/>
      <c r="W311" s="2"/>
      <c r="X311" s="2"/>
      <c r="Y311" s="2"/>
      <c r="Z311" s="2"/>
    </row>
    <row r="312">
      <c r="A312" s="2" t="str">
        <f>IFERROR(__xludf.DUMMYFUNCTION("""COMPUTED_VALUE"""),"The Invisible Spear")</f>
        <v>The Invisible Spear</v>
      </c>
      <c r="B312" s="2"/>
      <c r="C312" s="2" t="str">
        <f>IFERROR(__xludf.DUMMYFUNCTION("""COMPUTED_VALUE"""),"Spear")</f>
        <v>Spear</v>
      </c>
      <c r="D312" s="2" t="str">
        <f>IFERROR(__xludf.DUMMYFUNCTION("""COMPUTED_VALUE"""),"Hand")</f>
        <v>Hand</v>
      </c>
      <c r="E312" s="2">
        <f>IFERROR(__xludf.DUMMYFUNCTION("""COMPUTED_VALUE"""),1.0)</f>
        <v>1</v>
      </c>
      <c r="F312" s="2" t="str">
        <f>IFERROR(__xludf.DUMMYFUNCTION("""COMPUTED_VALUE"""),"DMG: +200 ++ignores evasion")</f>
        <v>DMG: +200 ++ignores evasion</v>
      </c>
      <c r="G312" s="2">
        <f>IFERROR(__xludf.DUMMYFUNCTION("""COMPUTED_VALUE"""),0.0)</f>
        <v>0</v>
      </c>
      <c r="H312" s="2"/>
      <c r="I312" s="2"/>
      <c r="J312" s="2"/>
      <c r="K312" s="2"/>
      <c r="L312" s="2"/>
      <c r="M312" s="2"/>
      <c r="N312" s="2"/>
      <c r="O312" s="2"/>
      <c r="P312" s="2"/>
      <c r="Q312" s="2"/>
      <c r="R312" s="2"/>
      <c r="S312" s="2"/>
      <c r="T312" s="2"/>
      <c r="U312" s="2"/>
      <c r="V312" s="2"/>
      <c r="W312" s="2"/>
      <c r="X312" s="2"/>
      <c r="Y312" s="2"/>
      <c r="Z312" s="2"/>
    </row>
    <row r="313">
      <c r="A313" s="2" t="str">
        <f>IFERROR(__xludf.DUMMYFUNCTION("""COMPUTED_VALUE"""),"The Mysterious Mirror")</f>
        <v>The Mysterious Mirror</v>
      </c>
      <c r="B313" s="2"/>
      <c r="C313" s="2" t="str">
        <f>IFERROR(__xludf.DUMMYFUNCTION("""COMPUTED_VALUE"""),"Towershield")</f>
        <v>Towershield</v>
      </c>
      <c r="D313" s="2" t="str">
        <f>IFERROR(__xludf.DUMMYFUNCTION("""COMPUTED_VALUE"""),"Hand")</f>
        <v>Hand</v>
      </c>
      <c r="E313" s="2">
        <f>IFERROR(__xludf.DUMMYFUNCTION("""COMPUTED_VALUE"""),1.0)</f>
        <v>1</v>
      </c>
      <c r="F313" s="2" t="str">
        <f>IFERROR(__xludf.DUMMYFUNCTION("""COMPUTED_VALUE""")," ++When the user would take damage from an enemy the damage is reflected back at all enemies instead, or you can choose to have the mirror absorb all damage taken from the first 2 attacks to add that damage on to your next attack, you may only choose up t"&amp;"o 5 targets for the damage to be reflected back at. The mirrors effect only lasts for your first 2 turns. +-Cannot be forged +-Cannot be duplicated")</f>
        <v> ++When the user would take damage from an enemy the damage is reflected back at all enemies instead, or you can choose to have the mirror absorb all damage taken from the first 2 attacks to add that damage on to your next attack, you may only choose up to 5 targets for the damage to be reflected back at. The mirrors effect only lasts for your first 2 turns. +-Cannot be forged +-Cannot be duplicated</v>
      </c>
      <c r="G313" s="2">
        <f>IFERROR(__xludf.DUMMYFUNCTION("""COMPUTED_VALUE"""),0.0)</f>
        <v>0</v>
      </c>
      <c r="H313" s="2"/>
      <c r="I313" s="2"/>
      <c r="J313" s="2"/>
      <c r="K313" s="2"/>
      <c r="L313" s="2"/>
      <c r="M313" s="2"/>
      <c r="N313" s="2"/>
      <c r="O313" s="2"/>
      <c r="P313" s="2"/>
      <c r="Q313" s="2"/>
      <c r="R313" s="2"/>
      <c r="S313" s="2"/>
      <c r="T313" s="2"/>
      <c r="U313" s="2"/>
      <c r="V313" s="2"/>
      <c r="W313" s="2"/>
      <c r="X313" s="2"/>
      <c r="Y313" s="2"/>
      <c r="Z313" s="2"/>
    </row>
    <row r="314">
      <c r="A314" s="2" t="str">
        <f>IFERROR(__xludf.DUMMYFUNCTION("""COMPUTED_VALUE"""),"The Puppet Masters Amulet")</f>
        <v>The Puppet Masters Amulet</v>
      </c>
      <c r="B314" s="2"/>
      <c r="C314" s="2"/>
      <c r="D314" s="2" t="str">
        <f>IFERROR(__xludf.DUMMYFUNCTION("""COMPUTED_VALUE"""),"Neck")</f>
        <v>Neck</v>
      </c>
      <c r="E314" s="2">
        <f>IFERROR(__xludf.DUMMYFUNCTION("""COMPUTED_VALUE"""),1.0)</f>
        <v>1</v>
      </c>
      <c r="F314" s="2" t="str">
        <f>IFERROR(__xludf.DUMMYFUNCTION("""COMPUTED_VALUE""")," ++Immune to possession.  +-Cannot be duplicated.")</f>
        <v> ++Immune to possession.  +-Cannot be duplicated.</v>
      </c>
      <c r="G314" s="2">
        <f>IFERROR(__xludf.DUMMYFUNCTION("""COMPUTED_VALUE"""),0.0)</f>
        <v>0</v>
      </c>
      <c r="H314" s="2"/>
      <c r="I314" s="2"/>
      <c r="J314" s="2"/>
      <c r="K314" s="2"/>
      <c r="L314" s="2"/>
      <c r="M314" s="2"/>
      <c r="N314" s="2"/>
      <c r="O314" s="2"/>
      <c r="P314" s="2"/>
      <c r="Q314" s="2"/>
      <c r="R314" s="2"/>
      <c r="S314" s="2"/>
      <c r="T314" s="2"/>
      <c r="U314" s="2"/>
      <c r="V314" s="2"/>
      <c r="W314" s="2"/>
      <c r="X314" s="2"/>
      <c r="Y314" s="2"/>
      <c r="Z314" s="2"/>
    </row>
    <row r="315">
      <c r="A315" s="2" t="str">
        <f>IFERROR(__xludf.DUMMYFUNCTION("""COMPUTED_VALUE"""),"The Puppet Masters Cloak")</f>
        <v>The Puppet Masters Cloak</v>
      </c>
      <c r="B315" s="2"/>
      <c r="C315" s="2"/>
      <c r="D315" s="2" t="str">
        <f>IFERROR(__xludf.DUMMYFUNCTION("""COMPUTED_VALUE"""),"Torso")</f>
        <v>Torso</v>
      </c>
      <c r="E315" s="2">
        <f>IFERROR(__xludf.DUMMYFUNCTION("""COMPUTED_VALUE"""),1.0)</f>
        <v>1</v>
      </c>
      <c r="F315" s="2" t="str">
        <f>IFERROR(__xludf.DUMMYFUNCTION("""COMPUTED_VALUE""")," ++User and allies gain immunity to chaos and dark damage while in the party. +-Cannot be duplicated")</f>
        <v> ++User and allies gain immunity to chaos and dark damage while in the party. +-Cannot be duplicated</v>
      </c>
      <c r="G315" s="2">
        <f>IFERROR(__xludf.DUMMYFUNCTION("""COMPUTED_VALUE"""),0.0)</f>
        <v>0</v>
      </c>
      <c r="H315" s="2"/>
      <c r="I315" s="2"/>
      <c r="J315" s="2"/>
      <c r="K315" s="2"/>
      <c r="L315" s="2"/>
      <c r="M315" s="2"/>
      <c r="N315" s="2"/>
      <c r="O315" s="2"/>
      <c r="P315" s="2"/>
      <c r="Q315" s="2"/>
      <c r="R315" s="2"/>
      <c r="S315" s="2"/>
      <c r="T315" s="2"/>
      <c r="U315" s="2"/>
      <c r="V315" s="2"/>
      <c r="W315" s="2"/>
      <c r="X315" s="2"/>
      <c r="Y315" s="2"/>
      <c r="Z315" s="2"/>
    </row>
    <row r="316">
      <c r="A316" s="2" t="str">
        <f>IFERROR(__xludf.DUMMYFUNCTION("""COMPUTED_VALUE"""),"The Puppet Masters Ring")</f>
        <v>The Puppet Masters Ring</v>
      </c>
      <c r="B316" s="2"/>
      <c r="C316" s="2"/>
      <c r="D316" s="2" t="str">
        <f>IFERROR(__xludf.DUMMYFUNCTION("""COMPUTED_VALUE"""),"Ring")</f>
        <v>Ring</v>
      </c>
      <c r="E316" s="2">
        <f>IFERROR(__xludf.DUMMYFUNCTION("""COMPUTED_VALUE"""),1.0)</f>
        <v>1</v>
      </c>
      <c r="F316" s="2" t="str">
        <f>IFERROR(__xludf.DUMMYFUNCTION("""COMPUTED_VALUE""")," ++Take control of a target of choice. Fail/Succeed roll, (This effect counts as a possession)  +-Cannot be duplicated.")</f>
        <v> ++Take control of a target of choice. Fail/Succeed roll, (This effect counts as a possession)  +-Cannot be duplicated.</v>
      </c>
      <c r="G316" s="2">
        <f>IFERROR(__xludf.DUMMYFUNCTION("""COMPUTED_VALUE"""),0.0)</f>
        <v>0</v>
      </c>
      <c r="H316" s="2"/>
      <c r="I316" s="2"/>
      <c r="J316" s="2"/>
      <c r="K316" s="2"/>
      <c r="L316" s="2"/>
      <c r="M316" s="2"/>
      <c r="N316" s="2"/>
      <c r="O316" s="2"/>
      <c r="P316" s="2"/>
      <c r="Q316" s="2"/>
      <c r="R316" s="2"/>
      <c r="S316" s="2"/>
      <c r="T316" s="2"/>
      <c r="U316" s="2"/>
      <c r="V316" s="2"/>
      <c r="W316" s="2"/>
      <c r="X316" s="2"/>
      <c r="Y316" s="2"/>
      <c r="Z316" s="2"/>
    </row>
    <row r="317">
      <c r="A317" s="2" t="str">
        <f>IFERROR(__xludf.DUMMYFUNCTION("""COMPUTED_VALUE"""),"The Red Sword")</f>
        <v>The Red Sword</v>
      </c>
      <c r="B317" s="2" t="str">
        <f>IFERROR(__xludf.DUMMYFUNCTION("""COMPUTED_VALUE"""),"A Sword that was made of Vampire’s Blood")</f>
        <v>A Sword that was made of Vampire’s Blood</v>
      </c>
      <c r="C317" s="2" t="str">
        <f>IFERROR(__xludf.DUMMYFUNCTION("""COMPUTED_VALUE"""),"Sword")</f>
        <v>Sword</v>
      </c>
      <c r="D317" s="2" t="str">
        <f>IFERROR(__xludf.DUMMYFUNCTION("""COMPUTED_VALUE"""),"Hand")</f>
        <v>Hand</v>
      </c>
      <c r="E317" s="2">
        <f>IFERROR(__xludf.DUMMYFUNCTION("""COMPUTED_VALUE"""),1.0)</f>
        <v>1</v>
      </c>
      <c r="F317" s="2" t="str">
        <f>IFERROR(__xludf.DUMMYFUNCTION("""COMPUTED_VALUE"""),"DMG: +300")</f>
        <v>DMG: +300</v>
      </c>
      <c r="G317" s="2">
        <f>IFERROR(__xludf.DUMMYFUNCTION("""COMPUTED_VALUE"""),0.0)</f>
        <v>0</v>
      </c>
      <c r="H317" s="2"/>
      <c r="I317" s="2"/>
      <c r="J317" s="2"/>
      <c r="K317" s="2"/>
      <c r="L317" s="2"/>
      <c r="M317" s="2"/>
      <c r="N317" s="2"/>
      <c r="O317" s="2"/>
      <c r="P317" s="2"/>
      <c r="Q317" s="2"/>
      <c r="R317" s="2"/>
      <c r="S317" s="2"/>
      <c r="T317" s="2"/>
      <c r="U317" s="2"/>
      <c r="V317" s="2"/>
      <c r="W317" s="2"/>
      <c r="X317" s="2"/>
      <c r="Y317" s="2"/>
      <c r="Z317" s="2"/>
    </row>
    <row r="318">
      <c r="A318" s="2" t="str">
        <f>IFERROR(__xludf.DUMMYFUNCTION("""COMPUTED_VALUE"""),"The Servants Sword")</f>
        <v>The Servants Sword</v>
      </c>
      <c r="B318" s="2"/>
      <c r="C318" s="2" t="str">
        <f>IFERROR(__xludf.DUMMYFUNCTION("""COMPUTED_VALUE"""),"Sword")</f>
        <v>Sword</v>
      </c>
      <c r="D318" s="2" t="str">
        <f>IFERROR(__xludf.DUMMYFUNCTION("""COMPUTED_VALUE"""),"Hand")</f>
        <v>Hand</v>
      </c>
      <c r="E318" s="2">
        <f>IFERROR(__xludf.DUMMYFUNCTION("""COMPUTED_VALUE"""),600.0)</f>
        <v>600</v>
      </c>
      <c r="F318" s="2" t="str">
        <f>IFERROR(__xludf.DUMMYFUNCTION("""COMPUTED_VALUE"""),"DMG: +20000, Chaos DMG: +10000")</f>
        <v>DMG: +20000, Chaos DMG: +10000</v>
      </c>
      <c r="G318" s="2">
        <f>IFERROR(__xludf.DUMMYFUNCTION("""COMPUTED_VALUE"""),1.77E7)</f>
        <v>17700000</v>
      </c>
      <c r="H318" s="2"/>
      <c r="I318" s="2"/>
      <c r="J318" s="2"/>
      <c r="K318" s="2"/>
      <c r="L318" s="2"/>
      <c r="M318" s="2"/>
      <c r="N318" s="2"/>
      <c r="O318" s="2"/>
      <c r="P318" s="2"/>
      <c r="Q318" s="2"/>
      <c r="R318" s="2"/>
      <c r="S318" s="2"/>
      <c r="T318" s="2"/>
      <c r="U318" s="2"/>
      <c r="V318" s="2"/>
      <c r="W318" s="2"/>
      <c r="X318" s="2"/>
      <c r="Y318" s="2"/>
      <c r="Z318" s="2"/>
    </row>
    <row r="319">
      <c r="A319" s="2" t="str">
        <f>IFERROR(__xludf.DUMMYFUNCTION("""COMPUTED_VALUE"""),"The Shield of Foul Night")</f>
        <v>The Shield of Foul Night</v>
      </c>
      <c r="B319" s="2"/>
      <c r="C319" s="2" t="str">
        <f>IFERROR(__xludf.DUMMYFUNCTION("""COMPUTED_VALUE"""),"Buckler")</f>
        <v>Buckler</v>
      </c>
      <c r="D319" s="2" t="str">
        <f>IFERROR(__xludf.DUMMYFUNCTION("""COMPUTED_VALUE"""),"Hand")</f>
        <v>Hand</v>
      </c>
      <c r="E319" s="2">
        <f>IFERROR(__xludf.DUMMYFUNCTION("""COMPUTED_VALUE"""),200.0)</f>
        <v>200</v>
      </c>
      <c r="F319" s="2" t="str">
        <f>IFERROR(__xludf.DUMMYFUNCTION("""COMPUTED_VALUE"""),"DEF: +5000, Nature DEF: +5000 (Foul Night Set) ++Nature Immunity, Poison Immunity")</f>
        <v>DEF: +5000, Nature DEF: +5000 (Foul Night Set) ++Nature Immunity, Poison Immunity</v>
      </c>
      <c r="G319" s="2">
        <f>IFERROR(__xludf.DUMMYFUNCTION("""COMPUTED_VALUE"""),1900000.0)</f>
        <v>1900000</v>
      </c>
      <c r="H319" s="2"/>
      <c r="I319" s="2"/>
      <c r="J319" s="2"/>
      <c r="K319" s="2"/>
      <c r="L319" s="2"/>
      <c r="M319" s="2"/>
      <c r="N319" s="2"/>
      <c r="O319" s="2"/>
      <c r="P319" s="2"/>
      <c r="Q319" s="2"/>
      <c r="R319" s="2"/>
      <c r="S319" s="2"/>
      <c r="T319" s="2"/>
      <c r="U319" s="2"/>
      <c r="V319" s="2"/>
      <c r="W319" s="2"/>
      <c r="X319" s="2"/>
      <c r="Y319" s="2"/>
      <c r="Z319" s="2"/>
    </row>
    <row r="320">
      <c r="A320" s="2" t="str">
        <f>IFERROR(__xludf.DUMMYFUNCTION("""COMPUTED_VALUE"""),"The Staff of  Haunted Bones")</f>
        <v>The Staff of  Haunted Bones</v>
      </c>
      <c r="B320" s="2" t="str">
        <f>IFERROR(__xludf.DUMMYFUNCTION("""COMPUTED_VALUE"""),"Halloween exclusive")</f>
        <v>Halloween exclusive</v>
      </c>
      <c r="C320" s="2" t="str">
        <f>IFERROR(__xludf.DUMMYFUNCTION("""COMPUTED_VALUE"""),"Staff")</f>
        <v>Staff</v>
      </c>
      <c r="D320" s="2" t="str">
        <f>IFERROR(__xludf.DUMMYFUNCTION("""COMPUTED_VALUE"""),"Hand")</f>
        <v>Hand</v>
      </c>
      <c r="E320" s="2">
        <f>IFERROR(__xludf.DUMMYFUNCTION("""COMPUTED_VALUE"""),1.0)</f>
        <v>1</v>
      </c>
      <c r="F320" s="2" t="str">
        <f>IFERROR(__xludf.DUMMYFUNCTION("""COMPUTED_VALUE""")," X2 additional Dark, Chaos, and Spirit damage.")</f>
        <v> X2 additional Dark, Chaos, and Spirit damage.</v>
      </c>
      <c r="G320" s="2">
        <f>IFERROR(__xludf.DUMMYFUNCTION("""COMPUTED_VALUE"""),0.0)</f>
        <v>0</v>
      </c>
      <c r="H320" s="2"/>
      <c r="I320" s="2"/>
      <c r="J320" s="2"/>
      <c r="K320" s="2"/>
      <c r="L320" s="2"/>
      <c r="M320" s="2"/>
      <c r="N320" s="2"/>
      <c r="O320" s="2"/>
      <c r="P320" s="2"/>
      <c r="Q320" s="2"/>
      <c r="R320" s="2"/>
      <c r="S320" s="2"/>
      <c r="T320" s="2"/>
      <c r="U320" s="2"/>
      <c r="V320" s="2"/>
      <c r="W320" s="2"/>
      <c r="X320" s="2"/>
      <c r="Y320" s="2"/>
      <c r="Z320" s="2"/>
    </row>
    <row r="321">
      <c r="A321" s="2" t="str">
        <f>IFERROR(__xludf.DUMMYFUNCTION("""COMPUTED_VALUE"""),"The Staff of the Aquas")</f>
        <v>The Staff of the Aquas</v>
      </c>
      <c r="B321" s="2"/>
      <c r="C321" s="2" t="str">
        <f>IFERROR(__xludf.DUMMYFUNCTION("""COMPUTED_VALUE"""),"Staff")</f>
        <v>Staff</v>
      </c>
      <c r="D321" s="2" t="str">
        <f>IFERROR(__xludf.DUMMYFUNCTION("""COMPUTED_VALUE"""),"Hand")</f>
        <v>Hand</v>
      </c>
      <c r="E321" s="2">
        <f>IFERROR(__xludf.DUMMYFUNCTION("""COMPUTED_VALUE"""),1.0)</f>
        <v>1</v>
      </c>
      <c r="F321" s="2" t="str">
        <f>IFERROR(__xludf.DUMMYFUNCTION("""COMPUTED_VALUE""")," ++All Water Spells Deal x3 damage and cost half sp to use.")</f>
        <v> ++All Water Spells Deal x3 damage and cost half sp to use.</v>
      </c>
      <c r="G321" s="2">
        <f>IFERROR(__xludf.DUMMYFUNCTION("""COMPUTED_VALUE"""),0.0)</f>
        <v>0</v>
      </c>
      <c r="H321" s="2"/>
      <c r="I321" s="2"/>
      <c r="J321" s="2"/>
      <c r="K321" s="2"/>
      <c r="L321" s="2"/>
      <c r="M321" s="2"/>
      <c r="N321" s="2"/>
      <c r="O321" s="2"/>
      <c r="P321" s="2"/>
      <c r="Q321" s="2"/>
      <c r="R321" s="2"/>
      <c r="S321" s="2"/>
      <c r="T321" s="2"/>
      <c r="U321" s="2"/>
      <c r="V321" s="2"/>
      <c r="W321" s="2"/>
      <c r="X321" s="2"/>
      <c r="Y321" s="2"/>
      <c r="Z321" s="2"/>
    </row>
    <row r="322">
      <c r="A322" s="2" t="str">
        <f>IFERROR(__xludf.DUMMYFUNCTION("""COMPUTED_VALUE"""),"The Staff of The Pumpkin’s Curse")</f>
        <v>The Staff of The Pumpkin’s Curse</v>
      </c>
      <c r="B322" s="2"/>
      <c r="C322" s="2" t="str">
        <f>IFERROR(__xludf.DUMMYFUNCTION("""COMPUTED_VALUE"""),"Staff")</f>
        <v>Staff</v>
      </c>
      <c r="D322" s="2" t="str">
        <f>IFERROR(__xludf.DUMMYFUNCTION("""COMPUTED_VALUE"""),"Hand")</f>
        <v>Hand</v>
      </c>
      <c r="E322" s="2">
        <f>IFERROR(__xludf.DUMMYFUNCTION("""COMPUTED_VALUE"""),1.0)</f>
        <v>1</v>
      </c>
      <c r="F322" s="2" t="str">
        <f>IFERROR(__xludf.DUMMYFUNCTION("""COMPUTED_VALUE""")," ++ Select a target, Any Fire Nature and Dark damage the target deals halved, Fail/Succeed.")</f>
        <v> ++ Select a target, Any Fire Nature and Dark damage the target deals halved, Fail/Succeed.</v>
      </c>
      <c r="G322" s="2">
        <f>IFERROR(__xludf.DUMMYFUNCTION("""COMPUTED_VALUE"""),0.0)</f>
        <v>0</v>
      </c>
      <c r="H322" s="2"/>
      <c r="I322" s="2"/>
      <c r="J322" s="2"/>
      <c r="K322" s="2"/>
      <c r="L322" s="2"/>
      <c r="M322" s="2"/>
      <c r="N322" s="2"/>
      <c r="O322" s="2"/>
      <c r="P322" s="2"/>
      <c r="Q322" s="2"/>
      <c r="R322" s="2"/>
      <c r="S322" s="2"/>
      <c r="T322" s="2"/>
      <c r="U322" s="2"/>
      <c r="V322" s="2"/>
      <c r="W322" s="2"/>
      <c r="X322" s="2"/>
      <c r="Y322" s="2"/>
      <c r="Z322" s="2"/>
    </row>
    <row r="323">
      <c r="A323" s="2" t="str">
        <f>IFERROR(__xludf.DUMMYFUNCTION("""COMPUTED_VALUE"""),"The Stick of the Panda")</f>
        <v>The Stick of the Panda</v>
      </c>
      <c r="B323" s="2"/>
      <c r="C323" s="2" t="str">
        <f>IFERROR(__xludf.DUMMYFUNCTION("""COMPUTED_VALUE"""),"Club")</f>
        <v>Club</v>
      </c>
      <c r="D323" s="2" t="str">
        <f>IFERROR(__xludf.DUMMYFUNCTION("""COMPUTED_VALUE"""),"Hand")</f>
        <v>Hand</v>
      </c>
      <c r="E323" s="2">
        <f>IFERROR(__xludf.DUMMYFUNCTION("""COMPUTED_VALUE"""),400.0)</f>
        <v>400</v>
      </c>
      <c r="F323" s="2" t="str">
        <f>IFERROR(__xludf.DUMMYFUNCTION("""COMPUTED_VALUE"""),"DMG: +10000, Nature DMG: +10000 ++When you find an herb you get 2 of the herb found instead of 1. +-Cannot be duplicated")</f>
        <v>DMG: +10000, Nature DMG: +10000 ++When you find an herb you get 2 of the herb found instead of 1. +-Cannot be duplicated</v>
      </c>
      <c r="G323" s="2">
        <f>IFERROR(__xludf.DUMMYFUNCTION("""COMPUTED_VALUE"""),7800000.0)</f>
        <v>7800000</v>
      </c>
      <c r="H323" s="2"/>
      <c r="I323" s="2"/>
      <c r="J323" s="2"/>
      <c r="K323" s="2"/>
      <c r="L323" s="2"/>
      <c r="M323" s="2"/>
      <c r="N323" s="2"/>
      <c r="O323" s="2"/>
      <c r="P323" s="2"/>
      <c r="Q323" s="2"/>
      <c r="R323" s="2"/>
      <c r="S323" s="2"/>
      <c r="T323" s="2"/>
      <c r="U323" s="2"/>
      <c r="V323" s="2"/>
      <c r="W323" s="2"/>
      <c r="X323" s="2"/>
      <c r="Y323" s="2"/>
      <c r="Z323" s="2"/>
    </row>
    <row r="324">
      <c r="A324" s="2" t="str">
        <f>IFERROR(__xludf.DUMMYFUNCTION("""COMPUTED_VALUE"""),"The Sword Of Death")</f>
        <v>The Sword Of Death</v>
      </c>
      <c r="B324" s="2"/>
      <c r="C324" s="2" t="str">
        <f>IFERROR(__xludf.DUMMYFUNCTION("""COMPUTED_VALUE"""),"Sword")</f>
        <v>Sword</v>
      </c>
      <c r="D324" s="2" t="str">
        <f>IFERROR(__xludf.DUMMYFUNCTION("""COMPUTED_VALUE"""),"Hand")</f>
        <v>Hand</v>
      </c>
      <c r="E324" s="2">
        <f>IFERROR(__xludf.DUMMYFUNCTION("""COMPUTED_VALUE"""),1.0)</f>
        <v>1</v>
      </c>
      <c r="F324" s="2" t="str">
        <f>IFERROR(__xludf.DUMMYFUNCTION("""COMPUTED_VALUE"""),"DMG: +250")</f>
        <v>DMG: +250</v>
      </c>
      <c r="G324" s="2">
        <f>IFERROR(__xludf.DUMMYFUNCTION("""COMPUTED_VALUE"""),0.0)</f>
        <v>0</v>
      </c>
      <c r="H324" s="2"/>
      <c r="I324" s="2"/>
      <c r="J324" s="2"/>
      <c r="K324" s="2"/>
      <c r="L324" s="2"/>
      <c r="M324" s="2"/>
      <c r="N324" s="2"/>
      <c r="O324" s="2"/>
      <c r="P324" s="2"/>
      <c r="Q324" s="2"/>
      <c r="R324" s="2"/>
      <c r="S324" s="2"/>
      <c r="T324" s="2"/>
      <c r="U324" s="2"/>
      <c r="V324" s="2"/>
      <c r="W324" s="2"/>
      <c r="X324" s="2"/>
      <c r="Y324" s="2"/>
      <c r="Z324" s="2"/>
    </row>
    <row r="325">
      <c r="A325" s="2" t="str">
        <f>IFERROR(__xludf.DUMMYFUNCTION("""COMPUTED_VALUE"""),"The Sword Of Easter's Gathering (Exclusive)")</f>
        <v>The Sword Of Easter's Gathering (Exclusive)</v>
      </c>
      <c r="B325" s="2"/>
      <c r="C325" s="2" t="str">
        <f>IFERROR(__xludf.DUMMYFUNCTION("""COMPUTED_VALUE"""),"Sword")</f>
        <v>Sword</v>
      </c>
      <c r="D325" s="2" t="str">
        <f>IFERROR(__xludf.DUMMYFUNCTION("""COMPUTED_VALUE"""),"Hand")</f>
        <v>Hand</v>
      </c>
      <c r="E325" s="2">
        <f>IFERROR(__xludf.DUMMYFUNCTION("""COMPUTED_VALUE"""),200.0)</f>
        <v>200</v>
      </c>
      <c r="F325" s="2" t="str">
        <f>IFERROR(__xludf.DUMMYFUNCTION("""COMPUTED_VALUE"""),", Nature DMG: +10000, Celestial DMG: +10000 ++Doubles all elemental damage when held, ++2 on all rolls while in battle, +-Cannot be forged +-Cannot be duplicated")</f>
        <v>, Nature DMG: +10000, Celestial DMG: +10000 ++Doubles all elemental damage when held, ++2 on all rolls while in battle, +-Cannot be forged +-Cannot be duplicated</v>
      </c>
      <c r="G325" s="2">
        <f>IFERROR(__xludf.DUMMYFUNCTION("""COMPUTED_VALUE"""),7800000.0)</f>
        <v>7800000</v>
      </c>
      <c r="H325" s="2"/>
      <c r="I325" s="2"/>
      <c r="J325" s="2"/>
      <c r="K325" s="2"/>
      <c r="L325" s="2"/>
      <c r="M325" s="2"/>
      <c r="N325" s="2"/>
      <c r="O325" s="2"/>
      <c r="P325" s="2"/>
      <c r="Q325" s="2"/>
      <c r="R325" s="2"/>
      <c r="S325" s="2"/>
      <c r="T325" s="2"/>
      <c r="U325" s="2"/>
      <c r="V325" s="2"/>
      <c r="W325" s="2"/>
      <c r="X325" s="2"/>
      <c r="Y325" s="2"/>
      <c r="Z325" s="2"/>
    </row>
    <row r="326">
      <c r="A326" s="2" t="str">
        <f>IFERROR(__xludf.DUMMYFUNCTION("""COMPUTED_VALUE"""),"The Sword of Manannán (Exclusive)")</f>
        <v>The Sword of Manannán (Exclusive)</v>
      </c>
      <c r="B326" s="2" t="str">
        <f>IFERROR(__xludf.DUMMYFUNCTION("""COMPUTED_VALUE"""),"Lugh's Sword he wielded in battle")</f>
        <v>Lugh's Sword he wielded in battle</v>
      </c>
      <c r="C326" s="2" t="str">
        <f>IFERROR(__xludf.DUMMYFUNCTION("""COMPUTED_VALUE"""),"Sword")</f>
        <v>Sword</v>
      </c>
      <c r="D326" s="2" t="str">
        <f>IFERROR(__xludf.DUMMYFUNCTION("""COMPUTED_VALUE"""),"Hand")</f>
        <v>Hand</v>
      </c>
      <c r="E326" s="2">
        <f>IFERROR(__xludf.DUMMYFUNCTION("""COMPUTED_VALUE"""),200.0)</f>
        <v>200</v>
      </c>
      <c r="F326" s="2" t="str">
        <f>IFERROR(__xludf.DUMMYFUNCTION("""COMPUTED_VALUE"""),"DMG: +75000, Celestial DMG: +75000 ++Intimidation and Charisma stat is double while equipped")</f>
        <v>DMG: +75000, Celestial DMG: +75000 ++Intimidation and Charisma stat is double while equipped</v>
      </c>
      <c r="G326" s="2">
        <f>IFERROR(__xludf.DUMMYFUNCTION("""COMPUTED_VALUE"""),4.485E8)</f>
        <v>448500000</v>
      </c>
      <c r="H326" s="2"/>
      <c r="I326" s="2"/>
      <c r="J326" s="2"/>
      <c r="K326" s="2"/>
      <c r="L326" s="2"/>
      <c r="M326" s="2"/>
      <c r="N326" s="2"/>
      <c r="O326" s="2"/>
      <c r="P326" s="2"/>
      <c r="Q326" s="2"/>
      <c r="R326" s="2"/>
      <c r="S326" s="2"/>
      <c r="T326" s="2"/>
      <c r="U326" s="2"/>
      <c r="V326" s="2"/>
      <c r="W326" s="2"/>
      <c r="X326" s="2"/>
      <c r="Y326" s="2"/>
      <c r="Z326" s="2"/>
    </row>
    <row r="327">
      <c r="A327" s="2" t="str">
        <f>IFERROR(__xludf.DUMMYFUNCTION("""COMPUTED_VALUE"""),"The Waking Ash of the Serpent’s Pendent")</f>
        <v>The Waking Ash of the Serpent’s Pendent</v>
      </c>
      <c r="B327" s="2"/>
      <c r="C327" s="2"/>
      <c r="D327" s="2" t="str">
        <f>IFERROR(__xludf.DUMMYFUNCTION("""COMPUTED_VALUE"""),"Neck")</f>
        <v>Neck</v>
      </c>
      <c r="E327" s="2">
        <f>IFERROR(__xludf.DUMMYFUNCTION("""COMPUTED_VALUE"""),1.0)</f>
        <v>1</v>
      </c>
      <c r="F327" s="2" t="str">
        <f>IFERROR(__xludf.DUMMYFUNCTION("""COMPUTED_VALUE""")," ++When attacked with a fire spell or fire weapon you may absorb the damage you take from that 1 attack and add the damage you would have taken to your next attack as additional fire damage, This effect can only be used once per battle. +-Cannot be duplic"&amp;"ated.")</f>
        <v> ++When attacked with a fire spell or fire weapon you may absorb the damage you take from that 1 attack and add the damage you would have taken to your next attack as additional fire damage, This effect can only be used once per battle. +-Cannot be duplicated.</v>
      </c>
      <c r="G327" s="2">
        <f>IFERROR(__xludf.DUMMYFUNCTION("""COMPUTED_VALUE"""),0.0)</f>
        <v>0</v>
      </c>
      <c r="H327" s="2"/>
      <c r="I327" s="2"/>
      <c r="J327" s="2"/>
      <c r="K327" s="2"/>
      <c r="L327" s="2"/>
      <c r="M327" s="2"/>
      <c r="N327" s="2"/>
      <c r="O327" s="2"/>
      <c r="P327" s="2"/>
      <c r="Q327" s="2"/>
      <c r="R327" s="2"/>
      <c r="S327" s="2"/>
      <c r="T327" s="2"/>
      <c r="U327" s="2"/>
      <c r="V327" s="2"/>
      <c r="W327" s="2"/>
      <c r="X327" s="2"/>
      <c r="Y327" s="2"/>
      <c r="Z327" s="2"/>
    </row>
    <row r="328">
      <c r="A328" s="2" t="str">
        <f>IFERROR(__xludf.DUMMYFUNCTION("""COMPUTED_VALUE"""),"The Wand of Aquatic Beasts")</f>
        <v>The Wand of Aquatic Beasts</v>
      </c>
      <c r="B328" s="2"/>
      <c r="C328" s="2" t="str">
        <f>IFERROR(__xludf.DUMMYFUNCTION("""COMPUTED_VALUE"""),"Wand")</f>
        <v>Wand</v>
      </c>
      <c r="D328" s="2" t="str">
        <f>IFERROR(__xludf.DUMMYFUNCTION("""COMPUTED_VALUE"""),"Hand")</f>
        <v>Hand</v>
      </c>
      <c r="E328" s="2">
        <f>IFERROR(__xludf.DUMMYFUNCTION("""COMPUTED_VALUE"""),1.0)</f>
        <v>1</v>
      </c>
      <c r="F328" s="2" t="str">
        <f>IFERROR(__xludf.DUMMYFUNCTION("""COMPUTED_VALUE""")," ++All water and storm spells are decreased by half sp.")</f>
        <v> ++All water and storm spells are decreased by half sp.</v>
      </c>
      <c r="G328" s="2">
        <f>IFERROR(__xludf.DUMMYFUNCTION("""COMPUTED_VALUE"""),0.0)</f>
        <v>0</v>
      </c>
      <c r="H328" s="2"/>
      <c r="I328" s="2"/>
      <c r="J328" s="2"/>
      <c r="K328" s="2"/>
      <c r="L328" s="2"/>
      <c r="M328" s="2"/>
      <c r="N328" s="2"/>
      <c r="O328" s="2"/>
      <c r="P328" s="2"/>
      <c r="Q328" s="2"/>
      <c r="R328" s="2"/>
      <c r="S328" s="2"/>
      <c r="T328" s="2"/>
      <c r="U328" s="2"/>
      <c r="V328" s="2"/>
      <c r="W328" s="2"/>
      <c r="X328" s="2"/>
      <c r="Y328" s="2"/>
      <c r="Z328" s="2"/>
    </row>
    <row r="329">
      <c r="A329" s="2" t="str">
        <f>IFERROR(__xludf.DUMMYFUNCTION("""COMPUTED_VALUE"""),"Titanic Two Hander")</f>
        <v>Titanic Two Hander</v>
      </c>
      <c r="B329" s="2"/>
      <c r="C329" s="2" t="str">
        <f>IFERROR(__xludf.DUMMYFUNCTION("""COMPUTED_VALUE"""),"Sword")</f>
        <v>Sword</v>
      </c>
      <c r="D329" s="2" t="str">
        <f>IFERROR(__xludf.DUMMYFUNCTION("""COMPUTED_VALUE"""),"Hand")</f>
        <v>Hand</v>
      </c>
      <c r="E329" s="2">
        <f>IFERROR(__xludf.DUMMYFUNCTION("""COMPUTED_VALUE"""),200.0)</f>
        <v>200</v>
      </c>
      <c r="F329" s="2" t="str">
        <f>IFERROR(__xludf.DUMMYFUNCTION("""COMPUTED_VALUE"""),"DMG: +10000")</f>
        <v>DMG: +10000</v>
      </c>
      <c r="G329" s="2">
        <f>IFERROR(__xludf.DUMMYFUNCTION("""COMPUTED_VALUE"""),1900000.0)</f>
        <v>1900000</v>
      </c>
      <c r="H329" s="2"/>
      <c r="I329" s="2"/>
      <c r="J329" s="2"/>
      <c r="K329" s="2"/>
      <c r="L329" s="2"/>
      <c r="M329" s="2"/>
      <c r="N329" s="2"/>
      <c r="O329" s="2"/>
      <c r="P329" s="2"/>
      <c r="Q329" s="2"/>
      <c r="R329" s="2"/>
      <c r="S329" s="2"/>
      <c r="T329" s="2"/>
      <c r="U329" s="2"/>
      <c r="V329" s="2"/>
      <c r="W329" s="2"/>
      <c r="X329" s="2"/>
      <c r="Y329" s="2"/>
      <c r="Z329" s="2"/>
    </row>
    <row r="330">
      <c r="A330" s="2" t="str">
        <f>IFERROR(__xludf.DUMMYFUNCTION("""COMPUTED_VALUE"""),"Top Hat")</f>
        <v>Top Hat</v>
      </c>
      <c r="B330" s="2" t="str">
        <f>IFERROR(__xludf.DUMMYFUNCTION("""COMPUTED_VALUE"""),"nothing like good ol abraham")</f>
        <v>nothing like good ol abraham</v>
      </c>
      <c r="C330" s="2"/>
      <c r="D330" s="2" t="str">
        <f>IFERROR(__xludf.DUMMYFUNCTION("""COMPUTED_VALUE"""),"Head")</f>
        <v>Head</v>
      </c>
      <c r="E330" s="2">
        <f>IFERROR(__xludf.DUMMYFUNCTION("""COMPUTED_VALUE"""),1.0)</f>
        <v>1</v>
      </c>
      <c r="F330" s="2" t="str">
        <f>IFERROR(__xludf.DUMMYFUNCTION("""COMPUTED_VALUE"""),"DEF: +1")</f>
        <v>DEF: +1</v>
      </c>
      <c r="G330" s="2">
        <f>IFERROR(__xludf.DUMMYFUNCTION("""COMPUTED_VALUE"""),0.0)</f>
        <v>0</v>
      </c>
      <c r="H330" s="2"/>
      <c r="I330" s="2"/>
      <c r="J330" s="2"/>
      <c r="K330" s="2"/>
      <c r="L330" s="2"/>
      <c r="M330" s="2"/>
      <c r="N330" s="2"/>
      <c r="O330" s="2"/>
      <c r="P330" s="2"/>
      <c r="Q330" s="2"/>
      <c r="R330" s="2"/>
      <c r="S330" s="2"/>
      <c r="T330" s="2"/>
      <c r="U330" s="2"/>
      <c r="V330" s="2"/>
      <c r="W330" s="2"/>
      <c r="X330" s="2"/>
      <c r="Y330" s="2"/>
      <c r="Z330" s="2"/>
    </row>
    <row r="331">
      <c r="A331" s="2" t="str">
        <f>IFERROR(__xludf.DUMMYFUNCTION("""COMPUTED_VALUE"""),"Trident")</f>
        <v>Trident</v>
      </c>
      <c r="B331" s="2"/>
      <c r="C331" s="2" t="str">
        <f>IFERROR(__xludf.DUMMYFUNCTION("""COMPUTED_VALUE"""),"Spear")</f>
        <v>Spear</v>
      </c>
      <c r="D331" s="2" t="str">
        <f>IFERROR(__xludf.DUMMYFUNCTION("""COMPUTED_VALUE"""),"Hand")</f>
        <v>Hand</v>
      </c>
      <c r="E331" s="2">
        <f>IFERROR(__xludf.DUMMYFUNCTION("""COMPUTED_VALUE"""),20.0)</f>
        <v>20</v>
      </c>
      <c r="F331" s="2" t="str">
        <f>IFERROR(__xludf.DUMMYFUNCTION("""COMPUTED_VALUE"""),"DMG: +600")</f>
        <v>DMG: +600</v>
      </c>
      <c r="G331" s="2">
        <f>IFERROR(__xludf.DUMMYFUNCTION("""COMPUTED_VALUE"""),1000.0)</f>
        <v>1000</v>
      </c>
      <c r="H331" s="2"/>
      <c r="I331" s="2"/>
      <c r="J331" s="2"/>
      <c r="K331" s="2"/>
      <c r="L331" s="2"/>
      <c r="M331" s="2"/>
      <c r="N331" s="2"/>
      <c r="O331" s="2"/>
      <c r="P331" s="2"/>
      <c r="Q331" s="2"/>
      <c r="R331" s="2"/>
      <c r="S331" s="2"/>
      <c r="T331" s="2"/>
      <c r="U331" s="2"/>
      <c r="V331" s="2"/>
      <c r="W331" s="2"/>
      <c r="X331" s="2"/>
      <c r="Y331" s="2"/>
      <c r="Z331" s="2"/>
    </row>
    <row r="332">
      <c r="A332" s="2" t="str">
        <f>IFERROR(__xludf.DUMMYFUNCTION("""COMPUTED_VALUE"""),"Tundra Staff")</f>
        <v>Tundra Staff</v>
      </c>
      <c r="B332" s="2"/>
      <c r="C332" s="2" t="str">
        <f>IFERROR(__xludf.DUMMYFUNCTION("""COMPUTED_VALUE"""),"Staff")</f>
        <v>Staff</v>
      </c>
      <c r="D332" s="2" t="str">
        <f>IFERROR(__xludf.DUMMYFUNCTION("""COMPUTED_VALUE"""),"Hand")</f>
        <v>Hand</v>
      </c>
      <c r="E332" s="2">
        <f>IFERROR(__xludf.DUMMYFUNCTION("""COMPUTED_VALUE"""),200.0)</f>
        <v>200</v>
      </c>
      <c r="F332" s="2" t="str">
        <f>IFERROR(__xludf.DUMMYFUNCTION("""COMPUTED_VALUE"""),", Earth : +10000 ++X2 Earth damage. +-Cannot be duplicated")</f>
        <v>, Earth : +10000 ++X2 Earth damage. +-Cannot be duplicated</v>
      </c>
      <c r="G332" s="2">
        <f>IFERROR(__xludf.DUMMYFUNCTION("""COMPUTED_VALUE"""),1900000.0)</f>
        <v>1900000</v>
      </c>
      <c r="H332" s="2"/>
      <c r="I332" s="2"/>
      <c r="J332" s="2"/>
      <c r="K332" s="2"/>
      <c r="L332" s="2"/>
      <c r="M332" s="2"/>
      <c r="N332" s="2"/>
      <c r="O332" s="2"/>
      <c r="P332" s="2"/>
      <c r="Q332" s="2"/>
      <c r="R332" s="2"/>
      <c r="S332" s="2"/>
      <c r="T332" s="2"/>
      <c r="U332" s="2"/>
      <c r="V332" s="2"/>
      <c r="W332" s="2"/>
      <c r="X332" s="2"/>
      <c r="Y332" s="2"/>
      <c r="Z332" s="2"/>
    </row>
    <row r="333">
      <c r="A333" s="2" t="str">
        <f>IFERROR(__xludf.DUMMYFUNCTION("""COMPUTED_VALUE"""),"Twilight Bow")</f>
        <v>Twilight Bow</v>
      </c>
      <c r="B333" s="2"/>
      <c r="C333" s="2" t="str">
        <f>IFERROR(__xludf.DUMMYFUNCTION("""COMPUTED_VALUE"""),"Bow")</f>
        <v>Bow</v>
      </c>
      <c r="D333" s="2" t="str">
        <f>IFERROR(__xludf.DUMMYFUNCTION("""COMPUTED_VALUE"""),"Hand")</f>
        <v>Hand</v>
      </c>
      <c r="E333" s="2">
        <f>IFERROR(__xludf.DUMMYFUNCTION("""COMPUTED_VALUE"""),400.0)</f>
        <v>400</v>
      </c>
      <c r="F333" s="2" t="str">
        <f>IFERROR(__xludf.DUMMYFUNCTION("""COMPUTED_VALUE"""),"DMG: +10000, Twilight DMG: +10000")</f>
        <v>DMG: +10000, Twilight DMG: +10000</v>
      </c>
      <c r="G333" s="2">
        <f>IFERROR(__xludf.DUMMYFUNCTION("""COMPUTED_VALUE"""),7800000.0)</f>
        <v>7800000</v>
      </c>
      <c r="H333" s="2"/>
      <c r="I333" s="2"/>
      <c r="J333" s="2"/>
      <c r="K333" s="2"/>
      <c r="L333" s="2"/>
      <c r="M333" s="2"/>
      <c r="N333" s="2"/>
      <c r="O333" s="2"/>
      <c r="P333" s="2"/>
      <c r="Q333" s="2"/>
      <c r="R333" s="2"/>
      <c r="S333" s="2"/>
      <c r="T333" s="2"/>
      <c r="U333" s="2"/>
      <c r="V333" s="2"/>
      <c r="W333" s="2"/>
      <c r="X333" s="2"/>
      <c r="Y333" s="2"/>
      <c r="Z333" s="2"/>
    </row>
    <row r="334">
      <c r="A334" s="2" t="str">
        <f>IFERROR(__xludf.DUMMYFUNCTION("""COMPUTED_VALUE"""),"Twilight Crystal Sword of Evil's Bane")</f>
        <v>Twilight Crystal Sword of Evil's Bane</v>
      </c>
      <c r="B334" s="2" t="str">
        <f>IFERROR(__xludf.DUMMYFUNCTION("""COMPUTED_VALUE"""),"Halloween Event Exclusive Item")</f>
        <v>Halloween Event Exclusive Item</v>
      </c>
      <c r="C334" s="2" t="str">
        <f>IFERROR(__xludf.DUMMYFUNCTION("""COMPUTED_VALUE"""),"Sword")</f>
        <v>Sword</v>
      </c>
      <c r="D334" s="2" t="str">
        <f>IFERROR(__xludf.DUMMYFUNCTION("""COMPUTED_VALUE"""),"Hand")</f>
        <v>Hand</v>
      </c>
      <c r="E334" s="2">
        <f>IFERROR(__xludf.DUMMYFUNCTION("""COMPUTED_VALUE"""),200.0)</f>
        <v>200</v>
      </c>
      <c r="F334" s="2" t="str">
        <f>IFERROR(__xludf.DUMMYFUNCTION("""COMPUTED_VALUE"""),"DMG: +20000, Twilight DMG: +20000, Celestial DMG: +10000 ++X4 Order, Light, Chaos, and Dark damage for the user and party. +-Cannot be forged +-Cannot be duplicated")</f>
        <v>DMG: +20000, Twilight DMG: +20000, Celestial DMG: +10000 ++X4 Order, Light, Chaos, and Dark damage for the user and party. +-Cannot be forged +-Cannot be duplicated</v>
      </c>
      <c r="G334" s="2">
        <f>IFERROR(__xludf.DUMMYFUNCTION("""COMPUTED_VALUE"""),4.95E7)</f>
        <v>49500000</v>
      </c>
      <c r="H334" s="2"/>
      <c r="I334" s="2"/>
      <c r="J334" s="2"/>
      <c r="K334" s="2"/>
      <c r="L334" s="2"/>
      <c r="M334" s="2"/>
      <c r="N334" s="2"/>
      <c r="O334" s="2"/>
      <c r="P334" s="2"/>
      <c r="Q334" s="2"/>
      <c r="R334" s="2"/>
      <c r="S334" s="2"/>
      <c r="T334" s="2"/>
      <c r="U334" s="2"/>
      <c r="V334" s="2"/>
      <c r="W334" s="2"/>
      <c r="X334" s="2"/>
      <c r="Y334" s="2"/>
      <c r="Z334" s="2"/>
    </row>
    <row r="335">
      <c r="A335" s="2" t="str">
        <f>IFERROR(__xludf.DUMMYFUNCTION("""COMPUTED_VALUE"""),"Twilight Sword")</f>
        <v>Twilight Sword</v>
      </c>
      <c r="B335" s="2"/>
      <c r="C335" s="2" t="str">
        <f>IFERROR(__xludf.DUMMYFUNCTION("""COMPUTED_VALUE"""),"Sword")</f>
        <v>Sword</v>
      </c>
      <c r="D335" s="2" t="str">
        <f>IFERROR(__xludf.DUMMYFUNCTION("""COMPUTED_VALUE"""),"Hand")</f>
        <v>Hand</v>
      </c>
      <c r="E335" s="2">
        <f>IFERROR(__xludf.DUMMYFUNCTION("""COMPUTED_VALUE"""),20.0)</f>
        <v>20</v>
      </c>
      <c r="F335" s="2" t="str">
        <f>IFERROR(__xludf.DUMMYFUNCTION("""COMPUTED_VALUE"""),"DMG: +500, Twilight DMG: +200")</f>
        <v>DMG: +500, Twilight DMG: +200</v>
      </c>
      <c r="G335" s="2">
        <f>IFERROR(__xludf.DUMMYFUNCTION("""COMPUTED_VALUE"""),1000.0)</f>
        <v>1000</v>
      </c>
      <c r="H335" s="2"/>
      <c r="I335" s="2"/>
      <c r="J335" s="2"/>
      <c r="K335" s="2"/>
      <c r="L335" s="2"/>
      <c r="M335" s="2"/>
      <c r="N335" s="2"/>
      <c r="O335" s="2"/>
      <c r="P335" s="2"/>
      <c r="Q335" s="2"/>
      <c r="R335" s="2"/>
      <c r="S335" s="2"/>
      <c r="T335" s="2"/>
      <c r="U335" s="2"/>
      <c r="V335" s="2"/>
      <c r="W335" s="2"/>
      <c r="X335" s="2"/>
      <c r="Y335" s="2"/>
      <c r="Z335" s="2"/>
    </row>
    <row r="336">
      <c r="A336" s="2" t="str">
        <f>IFERROR(__xludf.DUMMYFUNCTION("""COMPUTED_VALUE"""),"Unknown Amulet")</f>
        <v>Unknown Amulet</v>
      </c>
      <c r="B336" s="2"/>
      <c r="C336" s="2"/>
      <c r="D336" s="2" t="str">
        <f>IFERROR(__xludf.DUMMYFUNCTION("""COMPUTED_VALUE"""),"Neck")</f>
        <v>Neck</v>
      </c>
      <c r="E336" s="2">
        <f>IFERROR(__xludf.DUMMYFUNCTION("""COMPUTED_VALUE"""),1.0)</f>
        <v>1</v>
      </c>
      <c r="F336" s="2" t="str">
        <f>IFERROR(__xludf.DUMMYFUNCTION("""COMPUTED_VALUE""")," ++At the beginning of battle, roll a d20. If the number is 1-5, everyone in the battle loses 1 HP. If the number is 6-10, all enemies lose 25% of their current HP. If the number is 11-19, the wearer loses 40% current HP. If the number is 20, the battle i"&amp;"s instantly won. (If you roll above a 20 , double your loot amount of each item)")</f>
        <v> ++At the beginning of battle, roll a d20. If the number is 1-5, everyone in the battle loses 1 HP. If the number is 6-10, all enemies lose 25% of their current HP. If the number is 11-19, the wearer loses 40% current HP. If the number is 20, the battle is instantly won. (If you roll above a 20 , double your loot amount of each item)</v>
      </c>
      <c r="G336" s="2">
        <f>IFERROR(__xludf.DUMMYFUNCTION("""COMPUTED_VALUE"""),0.0)</f>
        <v>0</v>
      </c>
      <c r="H336" s="2"/>
      <c r="I336" s="2"/>
      <c r="J336" s="2"/>
      <c r="K336" s="2"/>
      <c r="L336" s="2"/>
      <c r="M336" s="2"/>
      <c r="N336" s="2"/>
      <c r="O336" s="2"/>
      <c r="P336" s="2"/>
      <c r="Q336" s="2"/>
      <c r="R336" s="2"/>
      <c r="S336" s="2"/>
      <c r="T336" s="2"/>
      <c r="U336" s="2"/>
      <c r="V336" s="2"/>
      <c r="W336" s="2"/>
      <c r="X336" s="2"/>
      <c r="Y336" s="2"/>
      <c r="Z336" s="2"/>
    </row>
    <row r="337">
      <c r="A337" s="2" t="str">
        <f>IFERROR(__xludf.DUMMYFUNCTION("""COMPUTED_VALUE"""),"Vambraces of Waking Waters")</f>
        <v>Vambraces of Waking Waters</v>
      </c>
      <c r="B337" s="2"/>
      <c r="C337" s="2"/>
      <c r="D337" s="2" t="str">
        <f>IFERROR(__xludf.DUMMYFUNCTION("""COMPUTED_VALUE"""),"Arms")</f>
        <v>Arms</v>
      </c>
      <c r="E337" s="2">
        <f>IFERROR(__xludf.DUMMYFUNCTION("""COMPUTED_VALUE"""),200.0)</f>
        <v>200</v>
      </c>
      <c r="F337" s="2" t="str">
        <f>IFERROR(__xludf.DUMMYFUNCTION("""COMPUTED_VALUE"""),"DEF: +5000, Water DEF: +5000 ++X4 additional Water damage.")</f>
        <v>DEF: +5000, Water DEF: +5000 ++X4 additional Water damage.</v>
      </c>
      <c r="G337" s="2">
        <f>IFERROR(__xludf.DUMMYFUNCTION("""COMPUTED_VALUE"""),1900000.0)</f>
        <v>1900000</v>
      </c>
      <c r="H337" s="2"/>
      <c r="I337" s="2"/>
      <c r="J337" s="2"/>
      <c r="K337" s="2"/>
      <c r="L337" s="2"/>
      <c r="M337" s="2"/>
      <c r="N337" s="2"/>
      <c r="O337" s="2"/>
      <c r="P337" s="2"/>
      <c r="Q337" s="2"/>
      <c r="R337" s="2"/>
      <c r="S337" s="2"/>
      <c r="T337" s="2"/>
      <c r="U337" s="2"/>
      <c r="V337" s="2"/>
      <c r="W337" s="2"/>
      <c r="X337" s="2"/>
      <c r="Y337" s="2"/>
      <c r="Z337" s="2"/>
    </row>
    <row r="338">
      <c r="A338" s="2" t="str">
        <f>IFERROR(__xludf.DUMMYFUNCTION("""COMPUTED_VALUE"""),"Viking Helm")</f>
        <v>Viking Helm</v>
      </c>
      <c r="B338" s="2"/>
      <c r="C338" s="2"/>
      <c r="D338" s="2" t="str">
        <f>IFERROR(__xludf.DUMMYFUNCTION("""COMPUTED_VALUE"""),"Head")</f>
        <v>Head</v>
      </c>
      <c r="E338" s="2">
        <f>IFERROR(__xludf.DUMMYFUNCTION("""COMPUTED_VALUE"""),1.0)</f>
        <v>1</v>
      </c>
      <c r="F338" s="2" t="str">
        <f>IFERROR(__xludf.DUMMYFUNCTION("""COMPUTED_VALUE"""),"DEF: +200 (Viking Set)")</f>
        <v>DEF: +200 (Viking Set)</v>
      </c>
      <c r="G338" s="2">
        <f>IFERROR(__xludf.DUMMYFUNCTION("""COMPUTED_VALUE"""),0.0)</f>
        <v>0</v>
      </c>
      <c r="H338" s="2"/>
      <c r="I338" s="2"/>
      <c r="J338" s="2"/>
      <c r="K338" s="2"/>
      <c r="L338" s="2"/>
      <c r="M338" s="2"/>
      <c r="N338" s="2"/>
      <c r="O338" s="2"/>
      <c r="P338" s="2"/>
      <c r="Q338" s="2"/>
      <c r="R338" s="2"/>
      <c r="S338" s="2"/>
      <c r="T338" s="2"/>
      <c r="U338" s="2"/>
      <c r="V338" s="2"/>
      <c r="W338" s="2"/>
      <c r="X338" s="2"/>
      <c r="Y338" s="2"/>
      <c r="Z338" s="2"/>
    </row>
    <row r="339">
      <c r="A339" s="2" t="str">
        <f>IFERROR(__xludf.DUMMYFUNCTION("""COMPUTED_VALUE"""),"Void sword")</f>
        <v>Void sword</v>
      </c>
      <c r="B339" s="2"/>
      <c r="C339" s="2" t="str">
        <f>IFERROR(__xludf.DUMMYFUNCTION("""COMPUTED_VALUE"""),"Sword")</f>
        <v>Sword</v>
      </c>
      <c r="D339" s="2" t="str">
        <f>IFERROR(__xludf.DUMMYFUNCTION("""COMPUTED_VALUE"""),"Hand")</f>
        <v>Hand</v>
      </c>
      <c r="E339" s="2">
        <f>IFERROR(__xludf.DUMMYFUNCTION("""COMPUTED_VALUE"""),200.0)</f>
        <v>200</v>
      </c>
      <c r="F339" s="2" t="str">
        <f>IFERROR(__xludf.DUMMYFUNCTION("""COMPUTED_VALUE"""),", Celestial : +1 ++100% chance of instant death. Breaks upon instant death and causes a giant explosion causing 10,000,000 Celestial damage to all enemies..")</f>
        <v>, Celestial : +1 ++100% chance of instant death. Breaks upon instant death and causes a giant explosion causing 10,000,000 Celestial damage to all enemies..</v>
      </c>
      <c r="G339" s="2">
        <f>IFERROR(__xludf.DUMMYFUNCTION("""COMPUTED_VALUE"""),0.0)</f>
        <v>0</v>
      </c>
      <c r="H339" s="2"/>
      <c r="I339" s="2"/>
      <c r="J339" s="2"/>
      <c r="K339" s="2"/>
      <c r="L339" s="2"/>
      <c r="M339" s="2"/>
      <c r="N339" s="2"/>
      <c r="O339" s="2"/>
      <c r="P339" s="2"/>
      <c r="Q339" s="2"/>
      <c r="R339" s="2"/>
      <c r="S339" s="2"/>
      <c r="T339" s="2"/>
      <c r="U339" s="2"/>
      <c r="V339" s="2"/>
      <c r="W339" s="2"/>
      <c r="X339" s="2"/>
      <c r="Y339" s="2"/>
      <c r="Z339" s="2"/>
    </row>
    <row r="340">
      <c r="A340" s="2" t="str">
        <f>IFERROR(__xludf.DUMMYFUNCTION("""COMPUTED_VALUE"""),"Volcanic Sword of Destruction")</f>
        <v>Volcanic Sword of Destruction</v>
      </c>
      <c r="B340" s="2"/>
      <c r="C340" s="2" t="str">
        <f>IFERROR(__xludf.DUMMYFUNCTION("""COMPUTED_VALUE"""),"Sword")</f>
        <v>Sword</v>
      </c>
      <c r="D340" s="2" t="str">
        <f>IFERROR(__xludf.DUMMYFUNCTION("""COMPUTED_VALUE"""),"Hand")</f>
        <v>Hand</v>
      </c>
      <c r="E340" s="2">
        <f>IFERROR(__xludf.DUMMYFUNCTION("""COMPUTED_VALUE"""),200.0)</f>
        <v>200</v>
      </c>
      <c r="F340" s="2" t="str">
        <f>IFERROR(__xludf.DUMMYFUNCTION("""COMPUTED_VALUE"""),"DMG: +100000, Fire DMG: +300000, Celestial DMG: +100000 ++Volcanic Valves - Increase the damage of fire weapons and fire spells by x3, When you attack and miss the target with this sword the damage this sword deals will double each time you miss. +-Cannot"&amp;" be forged +-Cannot be duplicated")</f>
        <v>DMG: +100000, Fire DMG: +300000, Celestial DMG: +100000 ++Volcanic Valves - Increase the damage of fire weapons and fire spells by x3, When you attack and miss the target with this sword the damage this sword deals will double each time you miss. +-Cannot be forged +-Cannot be duplicated</v>
      </c>
      <c r="G340" s="2">
        <f>IFERROR(__xludf.DUMMYFUNCTION("""COMPUTED_VALUE"""),4.995E9)</f>
        <v>4995000000</v>
      </c>
      <c r="H340" s="2"/>
      <c r="I340" s="2"/>
      <c r="J340" s="2"/>
      <c r="K340" s="2"/>
      <c r="L340" s="2"/>
      <c r="M340" s="2"/>
      <c r="N340" s="2"/>
      <c r="O340" s="2"/>
      <c r="P340" s="2"/>
      <c r="Q340" s="2"/>
      <c r="R340" s="2"/>
      <c r="S340" s="2"/>
      <c r="T340" s="2"/>
      <c r="U340" s="2"/>
      <c r="V340" s="2"/>
      <c r="W340" s="2"/>
      <c r="X340" s="2"/>
      <c r="Y340" s="2"/>
      <c r="Z340" s="2"/>
    </row>
    <row r="341">
      <c r="A341" s="2" t="str">
        <f>IFERROR(__xludf.DUMMYFUNCTION("""COMPUTED_VALUE"""),"Wand of Grey")</f>
        <v>Wand of Grey</v>
      </c>
      <c r="B341" s="2"/>
      <c r="C341" s="2" t="str">
        <f>IFERROR(__xludf.DUMMYFUNCTION("""COMPUTED_VALUE"""),"Wand")</f>
        <v>Wand</v>
      </c>
      <c r="D341" s="2" t="str">
        <f>IFERROR(__xludf.DUMMYFUNCTION("""COMPUTED_VALUE"""),"Hand")</f>
        <v>Hand</v>
      </c>
      <c r="E341" s="2">
        <f>IFERROR(__xludf.DUMMYFUNCTION("""COMPUTED_VALUE"""),1.0)</f>
        <v>1</v>
      </c>
      <c r="F341" s="2" t="str">
        <f>IFERROR(__xludf.DUMMYFUNCTION("""COMPUTED_VALUE""")," ++X2 more damage to all spells. +-Cannot be duplicated.")</f>
        <v> ++X2 more damage to all spells. +-Cannot be duplicated.</v>
      </c>
      <c r="G341" s="2">
        <f>IFERROR(__xludf.DUMMYFUNCTION("""COMPUTED_VALUE"""),0.0)</f>
        <v>0</v>
      </c>
      <c r="H341" s="2"/>
      <c r="I341" s="2"/>
      <c r="J341" s="2"/>
      <c r="K341" s="2"/>
      <c r="L341" s="2"/>
      <c r="M341" s="2"/>
      <c r="N341" s="2"/>
      <c r="O341" s="2"/>
      <c r="P341" s="2"/>
      <c r="Q341" s="2"/>
      <c r="R341" s="2"/>
      <c r="S341" s="2"/>
      <c r="T341" s="2"/>
      <c r="U341" s="2"/>
      <c r="V341" s="2"/>
      <c r="W341" s="2"/>
      <c r="X341" s="2"/>
      <c r="Y341" s="2"/>
      <c r="Z341" s="2"/>
    </row>
    <row r="342">
      <c r="A342" s="2" t="str">
        <f>IFERROR(__xludf.DUMMYFUNCTION("""COMPUTED_VALUE"""),"Wand of Multi-Color")</f>
        <v>Wand of Multi-Color</v>
      </c>
      <c r="B342" s="2"/>
      <c r="C342" s="2" t="str">
        <f>IFERROR(__xludf.DUMMYFUNCTION("""COMPUTED_VALUE"""),"Wand")</f>
        <v>Wand</v>
      </c>
      <c r="D342" s="2" t="str">
        <f>IFERROR(__xludf.DUMMYFUNCTION("""COMPUTED_VALUE"""),"Hand")</f>
        <v>Hand</v>
      </c>
      <c r="E342" s="2">
        <f>IFERROR(__xludf.DUMMYFUNCTION("""COMPUTED_VALUE"""),1.0)</f>
        <v>1</v>
      </c>
      <c r="F342" s="2" t="str">
        <f>IFERROR(__xludf.DUMMYFUNCTION("""COMPUTED_VALUE""")," ++All types of spells are reduced by half sp. +-Cannot be duplicated. +-Can only equip one")</f>
        <v> ++All types of spells are reduced by half sp. +-Cannot be duplicated. +-Can only equip one</v>
      </c>
      <c r="G342" s="2">
        <f>IFERROR(__xludf.DUMMYFUNCTION("""COMPUTED_VALUE"""),0.0)</f>
        <v>0</v>
      </c>
      <c r="H342" s="2"/>
      <c r="I342" s="2"/>
      <c r="J342" s="2"/>
      <c r="K342" s="2"/>
      <c r="L342" s="2"/>
      <c r="M342" s="2"/>
      <c r="N342" s="2"/>
      <c r="O342" s="2"/>
      <c r="P342" s="2"/>
      <c r="Q342" s="2"/>
      <c r="R342" s="2"/>
      <c r="S342" s="2"/>
      <c r="T342" s="2"/>
      <c r="U342" s="2"/>
      <c r="V342" s="2"/>
      <c r="W342" s="2"/>
      <c r="X342" s="2"/>
      <c r="Y342" s="2"/>
      <c r="Z342" s="2"/>
    </row>
    <row r="343">
      <c r="A343" s="2" t="str">
        <f>IFERROR(__xludf.DUMMYFUNCTION("""COMPUTED_VALUE"""),"Warlock’s Armored Chestplate")</f>
        <v>Warlock’s Armored Chestplate</v>
      </c>
      <c r="B343" s="2"/>
      <c r="C343" s="2"/>
      <c r="D343" s="2" t="str">
        <f>IFERROR(__xludf.DUMMYFUNCTION("""COMPUTED_VALUE"""),"Torso")</f>
        <v>Torso</v>
      </c>
      <c r="E343" s="2">
        <f>IFERROR(__xludf.DUMMYFUNCTION("""COMPUTED_VALUE"""),100.0)</f>
        <v>100</v>
      </c>
      <c r="F343" s="2" t="str">
        <f>IFERROR(__xludf.DUMMYFUNCTION("""COMPUTED_VALUE"""),"DEF: +5000 ++All Dark, and Weapon attacks deal X2 more damage, All SP costs for Melee, Dark, and Physical Spells are reduced to half. ++Immunity to Dark and Chaos Damage.")</f>
        <v>DEF: +5000 ++All Dark, and Weapon attacks deal X2 more damage, All SP costs for Melee, Dark, and Physical Spells are reduced to half. ++Immunity to Dark and Chaos Damage.</v>
      </c>
      <c r="G343" s="2">
        <f>IFERROR(__xludf.DUMMYFUNCTION("""COMPUTED_VALUE"""),450000.0)</f>
        <v>450000</v>
      </c>
      <c r="H343" s="2"/>
      <c r="I343" s="2"/>
      <c r="J343" s="2"/>
      <c r="K343" s="2"/>
      <c r="L343" s="2"/>
      <c r="M343" s="2"/>
      <c r="N343" s="2"/>
      <c r="O343" s="2"/>
      <c r="P343" s="2"/>
      <c r="Q343" s="2"/>
      <c r="R343" s="2"/>
      <c r="S343" s="2"/>
      <c r="T343" s="2"/>
      <c r="U343" s="2"/>
      <c r="V343" s="2"/>
      <c r="W343" s="2"/>
      <c r="X343" s="2"/>
      <c r="Y343" s="2"/>
      <c r="Z343" s="2"/>
    </row>
    <row r="344">
      <c r="A344" s="2" t="str">
        <f>IFERROR(__xludf.DUMMYFUNCTION("""COMPUTED_VALUE"""),"Water Warhammer")</f>
        <v>Water Warhammer</v>
      </c>
      <c r="B344" s="2"/>
      <c r="C344" s="2" t="str">
        <f>IFERROR(__xludf.DUMMYFUNCTION("""COMPUTED_VALUE"""),"Club")</f>
        <v>Club</v>
      </c>
      <c r="D344" s="2" t="str">
        <f>IFERROR(__xludf.DUMMYFUNCTION("""COMPUTED_VALUE"""),"Hand")</f>
        <v>Hand</v>
      </c>
      <c r="E344" s="2">
        <f>IFERROR(__xludf.DUMMYFUNCTION("""COMPUTED_VALUE"""),200.0)</f>
        <v>200</v>
      </c>
      <c r="F344" s="2" t="str">
        <f>IFERROR(__xludf.DUMMYFUNCTION("""COMPUTED_VALUE"""),"DMG: +5000, Water DMG: +5000")</f>
        <v>DMG: +5000, Water DMG: +5000</v>
      </c>
      <c r="G344" s="2">
        <f>IFERROR(__xludf.DUMMYFUNCTION("""COMPUTED_VALUE"""),1900000.0)</f>
        <v>1900000</v>
      </c>
      <c r="H344" s="2"/>
      <c r="I344" s="2"/>
      <c r="J344" s="2"/>
      <c r="K344" s="2"/>
      <c r="L344" s="2"/>
      <c r="M344" s="2"/>
      <c r="N344" s="2"/>
      <c r="O344" s="2"/>
      <c r="P344" s="2"/>
      <c r="Q344" s="2"/>
      <c r="R344" s="2"/>
      <c r="S344" s="2"/>
      <c r="T344" s="2"/>
      <c r="U344" s="2"/>
      <c r="V344" s="2"/>
      <c r="W344" s="2"/>
      <c r="X344" s="2"/>
      <c r="Y344" s="2"/>
      <c r="Z344" s="2"/>
    </row>
    <row r="345">
      <c r="A345" s="2" t="str">
        <f>IFERROR(__xludf.DUMMYFUNCTION("""COMPUTED_VALUE"""),"Weaponized Bamboo Hat")</f>
        <v>Weaponized Bamboo Hat</v>
      </c>
      <c r="B345" s="2"/>
      <c r="C345" s="2" t="str">
        <f>IFERROR(__xludf.DUMMYFUNCTION("""COMPUTED_VALUE"""),"Knife")</f>
        <v>Knife</v>
      </c>
      <c r="D345" s="2" t="str">
        <f>IFERROR(__xludf.DUMMYFUNCTION("""COMPUTED_VALUE"""),"Head")</f>
        <v>Head</v>
      </c>
      <c r="E345" s="2">
        <f>IFERROR(__xludf.DUMMYFUNCTION("""COMPUTED_VALUE"""),40.0)</f>
        <v>40</v>
      </c>
      <c r="F345" s="2" t="str">
        <f>IFERROR(__xludf.DUMMYFUNCTION("""COMPUTED_VALUE"""),"DEF: +1000, Nature DEF: +1000 ++10,000 damage when thrown, this item will return to you after thrown.")</f>
        <v>DEF: +1000, Nature DEF: +1000 ++10,000 damage when thrown, this item will return to you after thrown.</v>
      </c>
      <c r="G345" s="2">
        <f>IFERROR(__xludf.DUMMYFUNCTION("""COMPUTED_VALUE"""),60000.0)</f>
        <v>60000</v>
      </c>
      <c r="H345" s="2"/>
      <c r="I345" s="2"/>
      <c r="J345" s="2"/>
      <c r="K345" s="2"/>
      <c r="L345" s="2"/>
      <c r="M345" s="2"/>
      <c r="N345" s="2"/>
      <c r="O345" s="2"/>
      <c r="P345" s="2"/>
      <c r="Q345" s="2"/>
      <c r="R345" s="2"/>
      <c r="S345" s="2"/>
      <c r="T345" s="2"/>
      <c r="U345" s="2"/>
      <c r="V345" s="2"/>
      <c r="W345" s="2"/>
      <c r="X345" s="2"/>
      <c r="Y345" s="2"/>
      <c r="Z345" s="2"/>
    </row>
    <row r="346">
      <c r="A346" s="2" t="str">
        <f>IFERROR(__xludf.DUMMYFUNCTION("""COMPUTED_VALUE"""),"Wig of Temper Fire")</f>
        <v>Wig of Temper Fire</v>
      </c>
      <c r="B346" s="2"/>
      <c r="C346" s="2"/>
      <c r="D346" s="2" t="str">
        <f>IFERROR(__xludf.DUMMYFUNCTION("""COMPUTED_VALUE"""),"Head")</f>
        <v>Head</v>
      </c>
      <c r="E346" s="2">
        <f>IFERROR(__xludf.DUMMYFUNCTION("""COMPUTED_VALUE"""),1.0)</f>
        <v>1</v>
      </c>
      <c r="F346" s="2" t="str">
        <f>IFERROR(__xludf.DUMMYFUNCTION("""COMPUTED_VALUE""")," ++reduces any fire damage to 1 +-Cannot be duplicated")</f>
        <v> ++reduces any fire damage to 1 +-Cannot be duplicated</v>
      </c>
      <c r="G346" s="2">
        <f>IFERROR(__xludf.DUMMYFUNCTION("""COMPUTED_VALUE"""),0.0)</f>
        <v>0</v>
      </c>
      <c r="H346" s="2"/>
      <c r="I346" s="2"/>
      <c r="J346" s="2"/>
      <c r="K346" s="2"/>
      <c r="L346" s="2"/>
      <c r="M346" s="2"/>
      <c r="N346" s="2"/>
      <c r="O346" s="2"/>
      <c r="P346" s="2"/>
      <c r="Q346" s="2"/>
      <c r="R346" s="2"/>
      <c r="S346" s="2"/>
      <c r="T346" s="2"/>
      <c r="U346" s="2"/>
      <c r="V346" s="2"/>
      <c r="W346" s="2"/>
      <c r="X346" s="2"/>
      <c r="Y346" s="2"/>
      <c r="Z346" s="2"/>
    </row>
    <row r="347">
      <c r="A347" s="2" t="str">
        <f>IFERROR(__xludf.DUMMYFUNCTION("""COMPUTED_VALUE"""),"Woodsman’s Hacker")</f>
        <v>Woodsman’s Hacker</v>
      </c>
      <c r="B347" s="2"/>
      <c r="C347" s="2" t="str">
        <f>IFERROR(__xludf.DUMMYFUNCTION("""COMPUTED_VALUE"""),"Axe")</f>
        <v>Axe</v>
      </c>
      <c r="D347" s="2" t="str">
        <f>IFERROR(__xludf.DUMMYFUNCTION("""COMPUTED_VALUE"""),"Hand")</f>
        <v>Hand</v>
      </c>
      <c r="E347" s="2">
        <f>IFERROR(__xludf.DUMMYFUNCTION("""COMPUTED_VALUE"""),10.0)</f>
        <v>10</v>
      </c>
      <c r="F347" s="2" t="str">
        <f>IFERROR(__xludf.DUMMYFUNCTION("""COMPUTED_VALUE"""),"DMG: +500")</f>
        <v>DMG: +500</v>
      </c>
      <c r="G347" s="2">
        <f>IFERROR(__xludf.DUMMYFUNCTION("""COMPUTED_VALUE"""),1000.0)</f>
        <v>1000</v>
      </c>
      <c r="H347" s="2"/>
      <c r="I347" s="2"/>
      <c r="J347" s="2"/>
      <c r="K347" s="2"/>
      <c r="L347" s="2"/>
      <c r="M347" s="2"/>
      <c r="N347" s="2"/>
      <c r="O347" s="2"/>
      <c r="P347" s="2"/>
      <c r="Q347" s="2"/>
      <c r="R347" s="2"/>
      <c r="S347" s="2"/>
      <c r="T347" s="2"/>
      <c r="U347" s="2"/>
      <c r="V347" s="2"/>
      <c r="W347" s="2"/>
      <c r="X347" s="2"/>
      <c r="Y347" s="2"/>
      <c r="Z347" s="2"/>
    </row>
    <row r="348">
      <c r="A348" s="2" t="str">
        <f>IFERROR(__xludf.DUMMYFUNCTION("""COMPUTED_VALUE"""),"World Tree Sword")</f>
        <v>World Tree Sword</v>
      </c>
      <c r="B348" s="2"/>
      <c r="C348" s="2"/>
      <c r="D348" s="2" t="str">
        <f>IFERROR(__xludf.DUMMYFUNCTION("""COMPUTED_VALUE"""),"Hand")</f>
        <v>Hand</v>
      </c>
      <c r="E348" s="2">
        <f>IFERROR(__xludf.DUMMYFUNCTION("""COMPUTED_VALUE"""),200.0)</f>
        <v>200</v>
      </c>
      <c r="F348" s="2" t="str">
        <f>IFERROR(__xludf.DUMMYFUNCTION("""COMPUTED_VALUE"""),"DMG: +100000, Earth DMG: +50000, Light DMG: +50000, Spirit DMG: +50000, Order DMG: +50000, Nature DMG: +50000, Celestial DMG: +50000 ++If you kill an enemy with this weapon your HP and SP will fully be restored. +-Cannot be forged +-Cannot be duplicated")</f>
        <v>DMG: +100000, Earth DMG: +50000, Light DMG: +50000, Spirit DMG: +50000, Order DMG: +50000, Nature DMG: +50000, Celestial DMG: +50000 ++If you kill an enemy with this weapon your HP and SP will fully be restored. +-Cannot be forged +-Cannot be duplicated</v>
      </c>
      <c r="G348" s="2">
        <f>IFERROR(__xludf.DUMMYFUNCTION("""COMPUTED_VALUE"""),3.196E9)</f>
        <v>3196000000</v>
      </c>
      <c r="H348" s="2"/>
      <c r="I348" s="2"/>
      <c r="J348" s="2"/>
      <c r="K348" s="2"/>
      <c r="L348" s="2"/>
      <c r="M348" s="2"/>
      <c r="N348" s="2"/>
      <c r="O348" s="2"/>
      <c r="P348" s="2"/>
      <c r="Q348" s="2"/>
      <c r="R348" s="2"/>
      <c r="S348" s="2"/>
      <c r="T348" s="2"/>
      <c r="U348" s="2"/>
      <c r="V348" s="2"/>
      <c r="W348" s="2"/>
      <c r="X348" s="2"/>
      <c r="Y348" s="2"/>
      <c r="Z348" s="2"/>
    </row>
    <row r="349">
      <c r="A349" s="2" t="str">
        <f>IFERROR(__xludf.DUMMYFUNCTION("""COMPUTED_VALUE"""),"Tear of the Dragon Pendant")</f>
        <v>Tear of the Dragon Pendant</v>
      </c>
      <c r="B349" s="2"/>
      <c r="C349" s="2"/>
      <c r="D349" s="2" t="str">
        <f>IFERROR(__xludf.DUMMYFUNCTION("""COMPUTED_VALUE"""),"Neck")</f>
        <v>Neck</v>
      </c>
      <c r="E349" s="2">
        <f>IFERROR(__xludf.DUMMYFUNCTION("""COMPUTED_VALUE"""),1.0)</f>
        <v>1</v>
      </c>
      <c r="F349" s="2" t="str">
        <f>IFERROR(__xludf.DUMMYFUNCTION("""COMPUTED_VALUE""")," ++Plus 5 or Minus 5 on your attack and percentage rolls, Users choice. +-Cannot be duplicated.")</f>
        <v> ++Plus 5 or Minus 5 on your attack and percentage rolls, Users choice. +-Cannot be duplicated.</v>
      </c>
      <c r="G349" s="2">
        <f>IFERROR(__xludf.DUMMYFUNCTION("""COMPUTED_VALUE"""),0.0)</f>
        <v>0</v>
      </c>
      <c r="H349" s="2"/>
      <c r="I349" s="2"/>
      <c r="J349" s="2"/>
      <c r="K349" s="2"/>
      <c r="L349" s="2"/>
      <c r="M349" s="2"/>
      <c r="N349" s="2"/>
      <c r="O349" s="2"/>
      <c r="P349" s="2"/>
      <c r="Q349" s="2"/>
      <c r="R349" s="2"/>
      <c r="S349" s="2"/>
      <c r="T349" s="2"/>
      <c r="U349" s="2"/>
      <c r="V349" s="2"/>
      <c r="W349" s="2"/>
      <c r="X349" s="2"/>
      <c r="Y349" s="2"/>
      <c r="Z349" s="2"/>
    </row>
    <row r="350">
      <c r="A350" s="2" t="str">
        <f>IFERROR(__xludf.DUMMYFUNCTION("""COMPUTED_VALUE"""),"Luck of the Dragon Pendant")</f>
        <v>Luck of the Dragon Pendant</v>
      </c>
      <c r="B350" s="2"/>
      <c r="C350" s="2"/>
      <c r="D350" s="2" t="str">
        <f>IFERROR(__xludf.DUMMYFUNCTION("""COMPUTED_VALUE"""),"Neck")</f>
        <v>Neck</v>
      </c>
      <c r="E350" s="2">
        <f>IFERROR(__xludf.DUMMYFUNCTION("""COMPUTED_VALUE"""),1.0)</f>
        <v>1</v>
      </c>
      <c r="F350" s="2" t="str">
        <f>IFERROR(__xludf.DUMMYFUNCTION("""COMPUTED_VALUE""")," ++Plus 5 or Minus 5 on your Loot and Fail/Succeed rolls, Users choice. +-Cannot be duplicated.")</f>
        <v> ++Plus 5 or Minus 5 on your Loot and Fail/Succeed rolls, Users choice. +-Cannot be duplicated.</v>
      </c>
      <c r="G350" s="2">
        <f>IFERROR(__xludf.DUMMYFUNCTION("""COMPUTED_VALUE"""),0.0)</f>
        <v>0</v>
      </c>
      <c r="H350" s="2"/>
      <c r="I350" s="2"/>
      <c r="J350" s="2"/>
      <c r="K350" s="2"/>
      <c r="L350" s="2"/>
      <c r="M350" s="2"/>
      <c r="N350" s="2"/>
      <c r="O350" s="2"/>
      <c r="P350" s="2"/>
      <c r="Q350" s="2"/>
      <c r="R350" s="2"/>
      <c r="S350" s="2"/>
      <c r="T350" s="2"/>
      <c r="U350" s="2"/>
      <c r="V350" s="2"/>
      <c r="W350" s="2"/>
      <c r="X350" s="2"/>
      <c r="Y350" s="2"/>
      <c r="Z350" s="2"/>
    </row>
    <row r="351">
      <c r="A351" s="2" t="str">
        <f>IFERROR(__xludf.DUMMYFUNCTION("""COMPUTED_VALUE"""),"Scale of the Dragon Pendant")</f>
        <v>Scale of the Dragon Pendant</v>
      </c>
      <c r="B351" s="2"/>
      <c r="C351" s="2"/>
      <c r="D351" s="2" t="str">
        <f>IFERROR(__xludf.DUMMYFUNCTION("""COMPUTED_VALUE"""),"Neck")</f>
        <v>Neck</v>
      </c>
      <c r="E351" s="2">
        <f>IFERROR(__xludf.DUMMYFUNCTION("""COMPUTED_VALUE"""),1.0)</f>
        <v>1</v>
      </c>
      <c r="F351" s="2" t="str">
        <f>IFERROR(__xludf.DUMMYFUNCTION("""COMPUTED_VALUE""")," ++Allows you to use a companions SP as your own if the companion is a dragon. +-Cannot be duplicated.")</f>
        <v> ++Allows you to use a companions SP as your own if the companion is a dragon. +-Cannot be duplicated.</v>
      </c>
      <c r="G351" s="2">
        <f>IFERROR(__xludf.DUMMYFUNCTION("""COMPUTED_VALUE"""),0.0)</f>
        <v>0</v>
      </c>
      <c r="H351" s="2"/>
      <c r="I351" s="2"/>
      <c r="J351" s="2"/>
      <c r="K351" s="2"/>
      <c r="L351" s="2"/>
      <c r="M351" s="2"/>
      <c r="N351" s="2"/>
      <c r="O351" s="2"/>
      <c r="P351" s="2"/>
      <c r="Q351" s="2"/>
      <c r="R351" s="2"/>
      <c r="S351" s="2"/>
      <c r="T351" s="2"/>
      <c r="U351" s="2"/>
      <c r="V351" s="2"/>
      <c r="W351" s="2"/>
      <c r="X351" s="2"/>
      <c r="Y351" s="2"/>
      <c r="Z351" s="2"/>
    </row>
    <row r="352">
      <c r="A352" s="2" t="str">
        <f>IFERROR(__xludf.DUMMYFUNCTION("""COMPUTED_VALUE"""),"Guard Pauldrons")</f>
        <v>Guard Pauldrons</v>
      </c>
      <c r="B352" s="2" t="str">
        <f>IFERROR(__xludf.DUMMYFUNCTION("""COMPUTED_VALUE"""),"Quest Item")</f>
        <v>Quest Item</v>
      </c>
      <c r="C352" s="2"/>
      <c r="D352" s="2" t="str">
        <f>IFERROR(__xludf.DUMMYFUNCTION("""COMPUTED_VALUE"""),"Shoulders")</f>
        <v>Shoulders</v>
      </c>
      <c r="E352" s="2">
        <f>IFERROR(__xludf.DUMMYFUNCTION("""COMPUTED_VALUE"""),200.0)</f>
        <v>200</v>
      </c>
      <c r="F352" s="2" t="str">
        <f>IFERROR(__xludf.DUMMYFUNCTION("""COMPUTED_VALUE"""),"DEF: +25000, Light DEF: +25000, Celestial DEF: +25000 +-Cannot be duplicated")</f>
        <v>DEF: +25000, Light DEF: +25000, Celestial DEF: +25000 +-Cannot be duplicated</v>
      </c>
      <c r="G352" s="2">
        <f>IFERROR(__xludf.DUMMYFUNCTION("""COMPUTED_VALUE"""),1.1175E8)</f>
        <v>111750000</v>
      </c>
      <c r="H352" s="2"/>
      <c r="I352" s="2"/>
      <c r="J352" s="2"/>
      <c r="K352" s="2"/>
      <c r="L352" s="2"/>
      <c r="M352" s="2"/>
      <c r="N352" s="2"/>
      <c r="O352" s="2"/>
      <c r="P352" s="2"/>
      <c r="Q352" s="2"/>
      <c r="R352" s="2"/>
      <c r="S352" s="2"/>
      <c r="T352" s="2"/>
      <c r="U352" s="2"/>
      <c r="V352" s="2"/>
      <c r="W352" s="2"/>
      <c r="X352" s="2"/>
      <c r="Y352" s="2"/>
      <c r="Z352" s="2"/>
    </row>
    <row r="353">
      <c r="A353" s="2" t="str">
        <f>IFERROR(__xludf.DUMMYFUNCTION("""COMPUTED_VALUE"""),"Guard Vambraces")</f>
        <v>Guard Vambraces</v>
      </c>
      <c r="B353" s="2" t="str">
        <f>IFERROR(__xludf.DUMMYFUNCTION("""COMPUTED_VALUE"""),"Quest Item")</f>
        <v>Quest Item</v>
      </c>
      <c r="C353" s="2"/>
      <c r="D353" s="2" t="str">
        <f>IFERROR(__xludf.DUMMYFUNCTION("""COMPUTED_VALUE"""),"Arms")</f>
        <v>Arms</v>
      </c>
      <c r="E353" s="2">
        <f>IFERROR(__xludf.DUMMYFUNCTION("""COMPUTED_VALUE"""),200.0)</f>
        <v>200</v>
      </c>
      <c r="F353" s="2" t="str">
        <f>IFERROR(__xludf.DUMMYFUNCTION("""COMPUTED_VALUE"""),"DEF: +25000, Light DEF: +25000, Celestial DEF: +25000 +-Cannot be duplicated")</f>
        <v>DEF: +25000, Light DEF: +25000, Celestial DEF: +25000 +-Cannot be duplicated</v>
      </c>
      <c r="G353" s="2">
        <f>IFERROR(__xludf.DUMMYFUNCTION("""COMPUTED_VALUE"""),1.1175E8)</f>
        <v>111750000</v>
      </c>
      <c r="H353" s="2"/>
      <c r="I353" s="2"/>
      <c r="J353" s="2"/>
      <c r="K353" s="2"/>
      <c r="L353" s="2"/>
      <c r="M353" s="2"/>
      <c r="N353" s="2"/>
      <c r="O353" s="2"/>
      <c r="P353" s="2"/>
      <c r="Q353" s="2"/>
      <c r="R353" s="2"/>
      <c r="S353" s="2"/>
      <c r="T353" s="2"/>
      <c r="U353" s="2"/>
      <c r="V353" s="2"/>
      <c r="W353" s="2"/>
      <c r="X353" s="2"/>
      <c r="Y353" s="2"/>
      <c r="Z353" s="2"/>
    </row>
    <row r="354">
      <c r="A354" s="2" t="str">
        <f>IFERROR(__xludf.DUMMYFUNCTION("""COMPUTED_VALUE"""),"Royal Guard Pauldrons")</f>
        <v>Royal Guard Pauldrons</v>
      </c>
      <c r="B354" s="2" t="str">
        <f>IFERROR(__xludf.DUMMYFUNCTION("""COMPUTED_VALUE"""),"Quest Item")</f>
        <v>Quest Item</v>
      </c>
      <c r="C354" s="2"/>
      <c r="D354" s="2" t="str">
        <f>IFERROR(__xludf.DUMMYFUNCTION("""COMPUTED_VALUE"""),"Shoulders")</f>
        <v>Shoulders</v>
      </c>
      <c r="E354" s="2">
        <f>IFERROR(__xludf.DUMMYFUNCTION("""COMPUTED_VALUE"""),200.0)</f>
        <v>200</v>
      </c>
      <c r="F354" s="2" t="str">
        <f>IFERROR(__xludf.DUMMYFUNCTION("""COMPUTED_VALUE"""),"DEF: +50000, Light DEF: +50000, Celestial DEF: +50000 +-Cannot be duplicated")</f>
        <v>DEF: +50000, Light DEF: +50000, Celestial DEF: +50000 +-Cannot be duplicated</v>
      </c>
      <c r="G354" s="2">
        <f>IFERROR(__xludf.DUMMYFUNCTION("""COMPUTED_VALUE"""),4.485E8)</f>
        <v>448500000</v>
      </c>
      <c r="H354" s="2"/>
      <c r="I354" s="2"/>
      <c r="J354" s="2"/>
      <c r="K354" s="2"/>
      <c r="L354" s="2"/>
      <c r="M354" s="2"/>
      <c r="N354" s="2"/>
      <c r="O354" s="2"/>
      <c r="P354" s="2"/>
      <c r="Q354" s="2"/>
      <c r="R354" s="2"/>
      <c r="S354" s="2"/>
      <c r="T354" s="2"/>
      <c r="U354" s="2"/>
      <c r="V354" s="2"/>
      <c r="W354" s="2"/>
      <c r="X354" s="2"/>
      <c r="Y354" s="2"/>
      <c r="Z354" s="2"/>
    </row>
    <row r="355">
      <c r="A355" s="2" t="str">
        <f>IFERROR(__xludf.DUMMYFUNCTION("""COMPUTED_VALUE"""),"Royal Guard Vambraces")</f>
        <v>Royal Guard Vambraces</v>
      </c>
      <c r="B355" s="2" t="str">
        <f>IFERROR(__xludf.DUMMYFUNCTION("""COMPUTED_VALUE"""),"Quest Item")</f>
        <v>Quest Item</v>
      </c>
      <c r="C355" s="2"/>
      <c r="D355" s="2" t="str">
        <f>IFERROR(__xludf.DUMMYFUNCTION("""COMPUTED_VALUE"""),"Arms")</f>
        <v>Arms</v>
      </c>
      <c r="E355" s="2">
        <f>IFERROR(__xludf.DUMMYFUNCTION("""COMPUTED_VALUE"""),200.0)</f>
        <v>200</v>
      </c>
      <c r="F355" s="2" t="str">
        <f>IFERROR(__xludf.DUMMYFUNCTION("""COMPUTED_VALUE"""),"DEF: +50000, Light DEF: +50000, Celestial DEF: +50000 +-Cannot be duplicated")</f>
        <v>DEF: +50000, Light DEF: +50000, Celestial DEF: +50000 +-Cannot be duplicated</v>
      </c>
      <c r="G355" s="2">
        <f>IFERROR(__xludf.DUMMYFUNCTION("""COMPUTED_VALUE"""),4.485E8)</f>
        <v>448500000</v>
      </c>
      <c r="H355" s="2"/>
      <c r="I355" s="2"/>
      <c r="J355" s="2"/>
      <c r="K355" s="2"/>
      <c r="L355" s="2"/>
      <c r="M355" s="2"/>
      <c r="N355" s="2"/>
      <c r="O355" s="2"/>
      <c r="P355" s="2"/>
      <c r="Q355" s="2"/>
      <c r="R355" s="2"/>
      <c r="S355" s="2"/>
      <c r="T355" s="2"/>
      <c r="U355" s="2"/>
      <c r="V355" s="2"/>
      <c r="W355" s="2"/>
      <c r="X355" s="2"/>
      <c r="Y355" s="2"/>
      <c r="Z355" s="2"/>
    </row>
    <row r="356">
      <c r="A356" s="2" t="str">
        <f>IFERROR(__xludf.DUMMYFUNCTION("""COMPUTED_VALUE"""),"Celestian Royal Pauldrons")</f>
        <v>Celestian Royal Pauldrons</v>
      </c>
      <c r="B356" s="2" t="str">
        <f>IFERROR(__xludf.DUMMYFUNCTION("""COMPUTED_VALUE"""),"Quest Item")</f>
        <v>Quest Item</v>
      </c>
      <c r="C356" s="2"/>
      <c r="D356" s="2" t="str">
        <f>IFERROR(__xludf.DUMMYFUNCTION("""COMPUTED_VALUE"""),"Shoulders")</f>
        <v>Shoulders</v>
      </c>
      <c r="E356" s="2">
        <f>IFERROR(__xludf.DUMMYFUNCTION("""COMPUTED_VALUE"""),200.0)</f>
        <v>200</v>
      </c>
      <c r="F356" s="2" t="str">
        <f>IFERROR(__xludf.DUMMYFUNCTION("""COMPUTED_VALUE"""),"DEF: +100000, Light DEF: +100000, Dark DEF: +100000, Celestial DEF: +100000 ++X2 Celestial Damage. +-Cannot be duplicated.")</f>
        <v>DEF: +100000, Light DEF: +100000, Dark DEF: +100000, Celestial DEF: +100000 ++X2 Celestial Damage. +-Cannot be duplicated.</v>
      </c>
      <c r="G356" s="2">
        <f>IFERROR(__xludf.DUMMYFUNCTION("""COMPUTED_VALUE"""),3.196E9)</f>
        <v>3196000000</v>
      </c>
      <c r="H356" s="2"/>
      <c r="I356" s="2"/>
      <c r="J356" s="2"/>
      <c r="K356" s="2"/>
      <c r="L356" s="2"/>
      <c r="M356" s="2"/>
      <c r="N356" s="2"/>
      <c r="O356" s="2"/>
      <c r="P356" s="2"/>
      <c r="Q356" s="2"/>
      <c r="R356" s="2"/>
      <c r="S356" s="2"/>
      <c r="T356" s="2"/>
      <c r="U356" s="2"/>
      <c r="V356" s="2"/>
      <c r="W356" s="2"/>
      <c r="X356" s="2"/>
      <c r="Y356" s="2"/>
      <c r="Z356" s="2"/>
    </row>
    <row r="357">
      <c r="A357" s="2" t="str">
        <f>IFERROR(__xludf.DUMMYFUNCTION("""COMPUTED_VALUE"""),"Celestian Royal Vambraces")</f>
        <v>Celestian Royal Vambraces</v>
      </c>
      <c r="B357" s="2" t="str">
        <f>IFERROR(__xludf.DUMMYFUNCTION("""COMPUTED_VALUE"""),"Quest Item")</f>
        <v>Quest Item</v>
      </c>
      <c r="C357" s="2"/>
      <c r="D357" s="2" t="str">
        <f>IFERROR(__xludf.DUMMYFUNCTION("""COMPUTED_VALUE"""),"Arms")</f>
        <v>Arms</v>
      </c>
      <c r="E357" s="2">
        <f>IFERROR(__xludf.DUMMYFUNCTION("""COMPUTED_VALUE"""),200.0)</f>
        <v>200</v>
      </c>
      <c r="F357" s="2" t="str">
        <f>IFERROR(__xludf.DUMMYFUNCTION("""COMPUTED_VALUE"""),"DEF: +100000, Light DEF: +100000, Dark DEF: +100000, Celestial DEF: +100000 ++X2 Celestial Damage. +-Cannot be duplicated.")</f>
        <v>DEF: +100000, Light DEF: +100000, Dark DEF: +100000, Celestial DEF: +100000 ++X2 Celestial Damage. +-Cannot be duplicated.</v>
      </c>
      <c r="G357" s="2">
        <f>IFERROR(__xludf.DUMMYFUNCTION("""COMPUTED_VALUE"""),3.196E9)</f>
        <v>3196000000</v>
      </c>
      <c r="H357" s="2"/>
      <c r="I357" s="2"/>
      <c r="J357" s="2"/>
      <c r="K357" s="2"/>
      <c r="L357" s="2"/>
      <c r="M357" s="2"/>
      <c r="N357" s="2"/>
      <c r="O357" s="2"/>
      <c r="P357" s="2"/>
      <c r="Q357" s="2"/>
      <c r="R357" s="2"/>
      <c r="S357" s="2"/>
      <c r="T357" s="2"/>
      <c r="U357" s="2"/>
      <c r="V357" s="2"/>
      <c r="W357" s="2"/>
      <c r="X357" s="2"/>
      <c r="Y357" s="2"/>
      <c r="Z357" s="2"/>
    </row>
    <row r="358">
      <c r="A358" s="2" t="str">
        <f>IFERROR(__xludf.DUMMYFUNCTION("""COMPUTED_VALUE"""),"Royal Guard Shield")</f>
        <v>Royal Guard Shield</v>
      </c>
      <c r="B358" s="2" t="str">
        <f>IFERROR(__xludf.DUMMYFUNCTION("""COMPUTED_VALUE"""),"Quest Item")</f>
        <v>Quest Item</v>
      </c>
      <c r="C358" s="2" t="str">
        <f>IFERROR(__xludf.DUMMYFUNCTION("""COMPUTED_VALUE"""),"Towershield")</f>
        <v>Towershield</v>
      </c>
      <c r="D358" s="2" t="str">
        <f>IFERROR(__xludf.DUMMYFUNCTION("""COMPUTED_VALUE"""),"Hand")</f>
        <v>Hand</v>
      </c>
      <c r="E358" s="2">
        <f>IFERROR(__xludf.DUMMYFUNCTION("""COMPUTED_VALUE"""),200.0)</f>
        <v>200</v>
      </c>
      <c r="F358" s="2" t="str">
        <f>IFERROR(__xludf.DUMMYFUNCTION("""COMPUTED_VALUE"""),"DEF: +50000, Light DEF: +50000, Dark DEF: +50000, Celestial DEF: +50000 ++X2 Celestial Defense. +-Cannot be duplicated.")</f>
        <v>DEF: +50000, Light DEF: +50000, Dark DEF: +50000, Celestial DEF: +50000 ++X2 Celestial Defense. +-Cannot be duplicated.</v>
      </c>
      <c r="G358" s="2">
        <f>IFERROR(__xludf.DUMMYFUNCTION("""COMPUTED_VALUE"""),7.98E8)</f>
        <v>798000000</v>
      </c>
      <c r="H358" s="2"/>
      <c r="I358" s="2"/>
      <c r="J358" s="2"/>
      <c r="K358" s="2"/>
      <c r="L358" s="2"/>
      <c r="M358" s="2"/>
      <c r="N358" s="2"/>
      <c r="O358" s="2"/>
      <c r="P358" s="2"/>
      <c r="Q358" s="2"/>
      <c r="R358" s="2"/>
      <c r="S358" s="2"/>
      <c r="T358" s="2"/>
      <c r="U358" s="2"/>
      <c r="V358" s="2"/>
      <c r="W358" s="2"/>
      <c r="X358" s="2"/>
      <c r="Y358" s="2"/>
      <c r="Z358" s="2"/>
    </row>
    <row r="359">
      <c r="A359" s="2" t="str">
        <f>IFERROR(__xludf.DUMMYFUNCTION("""COMPUTED_VALUE"""),"Guard Leggings")</f>
        <v>Guard Leggings</v>
      </c>
      <c r="B359" s="2" t="str">
        <f>IFERROR(__xludf.DUMMYFUNCTION("""COMPUTED_VALUE"""),"Quest Item")</f>
        <v>Quest Item</v>
      </c>
      <c r="C359" s="2"/>
      <c r="D359" s="2" t="str">
        <f>IFERROR(__xludf.DUMMYFUNCTION("""COMPUTED_VALUE"""),"Legs")</f>
        <v>Legs</v>
      </c>
      <c r="E359" s="2">
        <f>IFERROR(__xludf.DUMMYFUNCTION("""COMPUTED_VALUE"""),200.0)</f>
        <v>200</v>
      </c>
      <c r="F359" s="2" t="str">
        <f>IFERROR(__xludf.DUMMYFUNCTION("""COMPUTED_VALUE"""),"DEF: +25000, Light DEF: +25000, Celestial DEF: +25000 +-Cannot be duplicated")</f>
        <v>DEF: +25000, Light DEF: +25000, Celestial DEF: +25000 +-Cannot be duplicated</v>
      </c>
      <c r="G359" s="2">
        <f>IFERROR(__xludf.DUMMYFUNCTION("""COMPUTED_VALUE"""),1.1175E8)</f>
        <v>111750000</v>
      </c>
      <c r="H359" s="2"/>
      <c r="I359" s="2"/>
      <c r="J359" s="2"/>
      <c r="K359" s="2"/>
      <c r="L359" s="2"/>
      <c r="M359" s="2"/>
      <c r="N359" s="2"/>
      <c r="O359" s="2"/>
      <c r="P359" s="2"/>
      <c r="Q359" s="2"/>
      <c r="R359" s="2"/>
      <c r="S359" s="2"/>
      <c r="T359" s="2"/>
      <c r="U359" s="2"/>
      <c r="V359" s="2"/>
      <c r="W359" s="2"/>
      <c r="X359" s="2"/>
      <c r="Y359" s="2"/>
      <c r="Z359" s="2"/>
    </row>
    <row r="360">
      <c r="A360" s="2" t="str">
        <f>IFERROR(__xludf.DUMMYFUNCTION("""COMPUTED_VALUE"""),"Guard Boots")</f>
        <v>Guard Boots</v>
      </c>
      <c r="B360" s="2" t="str">
        <f>IFERROR(__xludf.DUMMYFUNCTION("""COMPUTED_VALUE"""),"Quest Item")</f>
        <v>Quest Item</v>
      </c>
      <c r="C360" s="2"/>
      <c r="D360" s="2" t="str">
        <f>IFERROR(__xludf.DUMMYFUNCTION("""COMPUTED_VALUE"""),"Feet")</f>
        <v>Feet</v>
      </c>
      <c r="E360" s="2">
        <f>IFERROR(__xludf.DUMMYFUNCTION("""COMPUTED_VALUE"""),200.0)</f>
        <v>200</v>
      </c>
      <c r="F360" s="2" t="str">
        <f>IFERROR(__xludf.DUMMYFUNCTION("""COMPUTED_VALUE"""),"DEF: +25000, Light DEF: +25000, Celestial DEF: +25000 +-Cannot be duplicated")</f>
        <v>DEF: +25000, Light DEF: +25000, Celestial DEF: +25000 +-Cannot be duplicated</v>
      </c>
      <c r="G360" s="2">
        <f>IFERROR(__xludf.DUMMYFUNCTION("""COMPUTED_VALUE"""),1.1175E8)</f>
        <v>111750000</v>
      </c>
      <c r="H360" s="2"/>
      <c r="I360" s="2"/>
      <c r="J360" s="2"/>
      <c r="K360" s="2"/>
      <c r="L360" s="2"/>
      <c r="M360" s="2"/>
      <c r="N360" s="2"/>
      <c r="O360" s="2"/>
      <c r="P360" s="2"/>
      <c r="Q360" s="2"/>
      <c r="R360" s="2"/>
      <c r="S360" s="2"/>
      <c r="T360" s="2"/>
      <c r="U360" s="2"/>
      <c r="V360" s="2"/>
      <c r="W360" s="2"/>
      <c r="X360" s="2"/>
      <c r="Y360" s="2"/>
      <c r="Z360" s="2"/>
    </row>
    <row r="361">
      <c r="A361" s="2" t="str">
        <f>IFERROR(__xludf.DUMMYFUNCTION("""COMPUTED_VALUE"""),"Celestian Royal Boots")</f>
        <v>Celestian Royal Boots</v>
      </c>
      <c r="B361" s="2" t="str">
        <f>IFERROR(__xludf.DUMMYFUNCTION("""COMPUTED_VALUE"""),"Quest Item")</f>
        <v>Quest Item</v>
      </c>
      <c r="C361" s="2"/>
      <c r="D361" s="2" t="str">
        <f>IFERROR(__xludf.DUMMYFUNCTION("""COMPUTED_VALUE"""),"Feet")</f>
        <v>Feet</v>
      </c>
      <c r="E361" s="2">
        <f>IFERROR(__xludf.DUMMYFUNCTION("""COMPUTED_VALUE"""),200.0)</f>
        <v>200</v>
      </c>
      <c r="F361" s="2" t="str">
        <f>IFERROR(__xludf.DUMMYFUNCTION("""COMPUTED_VALUE"""),"DEF: +100000, Light DEF: +100000, Dark DEF: +100000, Celestial DEF: +100000 ++X6 Celestial Damage. +-Cannot be duplicated.")</f>
        <v>DEF: +100000, Light DEF: +100000, Dark DEF: +100000, Celestial DEF: +100000 ++X6 Celestial Damage. +-Cannot be duplicated.</v>
      </c>
      <c r="G361" s="2">
        <f>IFERROR(__xludf.DUMMYFUNCTION("""COMPUTED_VALUE"""),3.196E9)</f>
        <v>3196000000</v>
      </c>
      <c r="H361" s="2"/>
      <c r="I361" s="2"/>
      <c r="J361" s="2"/>
      <c r="K361" s="2"/>
      <c r="L361" s="2"/>
      <c r="M361" s="2"/>
      <c r="N361" s="2"/>
      <c r="O361" s="2"/>
      <c r="P361" s="2"/>
      <c r="Q361" s="2"/>
      <c r="R361" s="2"/>
      <c r="S361" s="2"/>
      <c r="T361" s="2"/>
      <c r="U361" s="2"/>
      <c r="V361" s="2"/>
      <c r="W361" s="2"/>
      <c r="X361" s="2"/>
      <c r="Y361" s="2"/>
      <c r="Z361" s="2"/>
    </row>
    <row r="362">
      <c r="A362" s="2" t="str">
        <f>IFERROR(__xludf.DUMMYFUNCTION("""COMPUTED_VALUE"""),"Celestian Royal Leggings")</f>
        <v>Celestian Royal Leggings</v>
      </c>
      <c r="B362" s="2" t="str">
        <f>IFERROR(__xludf.DUMMYFUNCTION("""COMPUTED_VALUE"""),"Quest Item")</f>
        <v>Quest Item</v>
      </c>
      <c r="C362" s="2"/>
      <c r="D362" s="2" t="str">
        <f>IFERROR(__xludf.DUMMYFUNCTION("""COMPUTED_VALUE"""),"Legs")</f>
        <v>Legs</v>
      </c>
      <c r="E362" s="2">
        <f>IFERROR(__xludf.DUMMYFUNCTION("""COMPUTED_VALUE"""),200.0)</f>
        <v>200</v>
      </c>
      <c r="F362" s="2" t="str">
        <f>IFERROR(__xludf.DUMMYFUNCTION("""COMPUTED_VALUE"""),"DEF: +100000, Light DEF: +100000, Dark DEF: +100000, Celestial DEF: +100000 ++X6 Celestial Damage. +-Cannot be duplicated.")</f>
        <v>DEF: +100000, Light DEF: +100000, Dark DEF: +100000, Celestial DEF: +100000 ++X6 Celestial Damage. +-Cannot be duplicated.</v>
      </c>
      <c r="G362" s="2">
        <f>IFERROR(__xludf.DUMMYFUNCTION("""COMPUTED_VALUE"""),3.196E9)</f>
        <v>3196000000</v>
      </c>
      <c r="H362" s="2"/>
      <c r="I362" s="2"/>
      <c r="J362" s="2"/>
      <c r="K362" s="2"/>
      <c r="L362" s="2"/>
      <c r="M362" s="2"/>
      <c r="N362" s="2"/>
      <c r="O362" s="2"/>
      <c r="P362" s="2"/>
      <c r="Q362" s="2"/>
      <c r="R362" s="2"/>
      <c r="S362" s="2"/>
      <c r="T362" s="2"/>
      <c r="U362" s="2"/>
      <c r="V362" s="2"/>
      <c r="W362" s="2"/>
      <c r="X362" s="2"/>
      <c r="Y362" s="2"/>
      <c r="Z362" s="2"/>
    </row>
    <row r="363">
      <c r="A363" s="2" t="str">
        <f>IFERROR(__xludf.DUMMYFUNCTION("""COMPUTED_VALUE"""),"Celestian Royal Helmet")</f>
        <v>Celestian Royal Helmet</v>
      </c>
      <c r="B363" s="2" t="str">
        <f>IFERROR(__xludf.DUMMYFUNCTION("""COMPUTED_VALUE"""),"Quest Item")</f>
        <v>Quest Item</v>
      </c>
      <c r="C363" s="2"/>
      <c r="D363" s="2" t="str">
        <f>IFERROR(__xludf.DUMMYFUNCTION("""COMPUTED_VALUE"""),"Head")</f>
        <v>Head</v>
      </c>
      <c r="E363" s="2">
        <f>IFERROR(__xludf.DUMMYFUNCTION("""COMPUTED_VALUE"""),200.0)</f>
        <v>200</v>
      </c>
      <c r="F363" s="2" t="str">
        <f>IFERROR(__xludf.DUMMYFUNCTION("""COMPUTED_VALUE"""),"DEF: +100000, Light DEF: +100000, Dark DEF: +100000, Celestial DEF: +100000 ++X6 Celestial Damage. +-Cannot be duplicated.")</f>
        <v>DEF: +100000, Light DEF: +100000, Dark DEF: +100000, Celestial DEF: +100000 ++X6 Celestial Damage. +-Cannot be duplicated.</v>
      </c>
      <c r="G363" s="2">
        <f>IFERROR(__xludf.DUMMYFUNCTION("""COMPUTED_VALUE"""),3.196E9)</f>
        <v>3196000000</v>
      </c>
      <c r="H363" s="2"/>
      <c r="I363" s="2"/>
      <c r="J363" s="2"/>
      <c r="K363" s="2"/>
      <c r="L363" s="2"/>
      <c r="M363" s="2"/>
      <c r="N363" s="2"/>
      <c r="O363" s="2"/>
      <c r="P363" s="2"/>
      <c r="Q363" s="2"/>
      <c r="R363" s="2"/>
      <c r="S363" s="2"/>
      <c r="T363" s="2"/>
      <c r="U363" s="2"/>
      <c r="V363" s="2"/>
      <c r="W363" s="2"/>
      <c r="X363" s="2"/>
      <c r="Y363" s="2"/>
      <c r="Z363" s="2"/>
    </row>
    <row r="364">
      <c r="A364" s="2" t="str">
        <f>IFERROR(__xludf.DUMMYFUNCTION("""COMPUTED_VALUE"""),"Celestian Royal Chestplate")</f>
        <v>Celestian Royal Chestplate</v>
      </c>
      <c r="B364" s="2" t="str">
        <f>IFERROR(__xludf.DUMMYFUNCTION("""COMPUTED_VALUE"""),"Quest Item")</f>
        <v>Quest Item</v>
      </c>
      <c r="C364" s="2"/>
      <c r="D364" s="2" t="str">
        <f>IFERROR(__xludf.DUMMYFUNCTION("""COMPUTED_VALUE"""),"Torso")</f>
        <v>Torso</v>
      </c>
      <c r="E364" s="2">
        <f>IFERROR(__xludf.DUMMYFUNCTION("""COMPUTED_VALUE"""),200.0)</f>
        <v>200</v>
      </c>
      <c r="F364" s="2" t="str">
        <f>IFERROR(__xludf.DUMMYFUNCTION("""COMPUTED_VALUE"""),"DEF: +100000, Light DEF: +100000, Dark DEF: +100000, Celestial DEF: +100000 ++X6 Celestial Damage. +-Cannot be duplicated.")</f>
        <v>DEF: +100000, Light DEF: +100000, Dark DEF: +100000, Celestial DEF: +100000 ++X6 Celestial Damage. +-Cannot be duplicated.</v>
      </c>
      <c r="G364" s="2">
        <f>IFERROR(__xludf.DUMMYFUNCTION("""COMPUTED_VALUE"""),3.196E9)</f>
        <v>3196000000</v>
      </c>
      <c r="H364" s="2"/>
      <c r="I364" s="2"/>
      <c r="J364" s="2"/>
      <c r="K364" s="2"/>
      <c r="L364" s="2"/>
      <c r="M364" s="2"/>
      <c r="N364" s="2"/>
      <c r="O364" s="2"/>
      <c r="P364" s="2"/>
      <c r="Q364" s="2"/>
      <c r="R364" s="2"/>
      <c r="S364" s="2"/>
      <c r="T364" s="2"/>
      <c r="U364" s="2"/>
      <c r="V364" s="2"/>
      <c r="W364" s="2"/>
      <c r="X364" s="2"/>
      <c r="Y364" s="2"/>
      <c r="Z364" s="2"/>
    </row>
    <row r="365">
      <c r="A365" s="2" t="str">
        <f>IFERROR(__xludf.DUMMYFUNCTION("""COMPUTED_VALUE"""),"Guard Chestplate")</f>
        <v>Guard Chestplate</v>
      </c>
      <c r="B365" s="2" t="str">
        <f>IFERROR(__xludf.DUMMYFUNCTION("""COMPUTED_VALUE"""),"Quest Item")</f>
        <v>Quest Item</v>
      </c>
      <c r="C365" s="2"/>
      <c r="D365" s="2" t="str">
        <f>IFERROR(__xludf.DUMMYFUNCTION("""COMPUTED_VALUE"""),"Torso")</f>
        <v>Torso</v>
      </c>
      <c r="E365" s="2">
        <f>IFERROR(__xludf.DUMMYFUNCTION("""COMPUTED_VALUE"""),200.0)</f>
        <v>200</v>
      </c>
      <c r="F365" s="2" t="str">
        <f>IFERROR(__xludf.DUMMYFUNCTION("""COMPUTED_VALUE"""),"DEF: +25000, Light DEF: +25000, Celestial DEF: +25000 +-Cannot be duplicated.")</f>
        <v>DEF: +25000, Light DEF: +25000, Celestial DEF: +25000 +-Cannot be duplicated.</v>
      </c>
      <c r="G365" s="2">
        <f>IFERROR(__xludf.DUMMYFUNCTION("""COMPUTED_VALUE"""),1.1175E8)</f>
        <v>111750000</v>
      </c>
      <c r="H365" s="2"/>
      <c r="I365" s="2"/>
      <c r="J365" s="2"/>
      <c r="K365" s="2"/>
      <c r="L365" s="2"/>
      <c r="M365" s="2"/>
      <c r="N365" s="2"/>
      <c r="O365" s="2"/>
      <c r="P365" s="2"/>
      <c r="Q365" s="2"/>
      <c r="R365" s="2"/>
      <c r="S365" s="2"/>
      <c r="T365" s="2"/>
      <c r="U365" s="2"/>
      <c r="V365" s="2"/>
      <c r="W365" s="2"/>
      <c r="X365" s="2"/>
      <c r="Y365" s="2"/>
      <c r="Z365" s="2"/>
    </row>
    <row r="366">
      <c r="A366" s="2" t="str">
        <f>IFERROR(__xludf.DUMMYFUNCTION("""COMPUTED_VALUE"""),"Revolver")</f>
        <v>Revolver</v>
      </c>
      <c r="B366" s="2"/>
      <c r="C366" s="2" t="str">
        <f>IFERROR(__xludf.DUMMYFUNCTION("""COMPUTED_VALUE"""),"Firearm")</f>
        <v>Firearm</v>
      </c>
      <c r="D366" s="2" t="str">
        <f>IFERROR(__xludf.DUMMYFUNCTION("""COMPUTED_VALUE"""),"Hand")</f>
        <v>Hand</v>
      </c>
      <c r="E366" s="2">
        <f>IFERROR(__xludf.DUMMYFUNCTION("""COMPUTED_VALUE"""),200.0)</f>
        <v>200</v>
      </c>
      <c r="F366" s="2" t="str">
        <f>IFERROR(__xludf.DUMMYFUNCTION("""COMPUTED_VALUE"""),"DMG: +5000, Blood DMG: +5000")</f>
        <v>DMG: +5000, Blood DMG: +5000</v>
      </c>
      <c r="G366" s="2">
        <f>IFERROR(__xludf.DUMMYFUNCTION("""COMPUTED_VALUE"""),1900000.0)</f>
        <v>1900000</v>
      </c>
      <c r="H366" s="2"/>
      <c r="I366" s="2"/>
      <c r="J366" s="2"/>
      <c r="K366" s="2"/>
      <c r="L366" s="2"/>
      <c r="M366" s="2"/>
      <c r="N366" s="2"/>
      <c r="O366" s="2"/>
      <c r="P366" s="2"/>
      <c r="Q366" s="2"/>
      <c r="R366" s="2"/>
      <c r="S366" s="2"/>
      <c r="T366" s="2"/>
      <c r="U366" s="2"/>
      <c r="V366" s="2"/>
      <c r="W366" s="2"/>
      <c r="X366" s="2"/>
      <c r="Y366" s="2"/>
      <c r="Z366" s="2"/>
    </row>
    <row r="367">
      <c r="A367" s="2" t="str">
        <f>IFERROR(__xludf.DUMMYFUNCTION("""COMPUTED_VALUE"""),"Musket")</f>
        <v>Musket</v>
      </c>
      <c r="B367" s="2"/>
      <c r="C367" s="2" t="str">
        <f>IFERROR(__xludf.DUMMYFUNCTION("""COMPUTED_VALUE"""),"Firearm")</f>
        <v>Firearm</v>
      </c>
      <c r="D367" s="2" t="str">
        <f>IFERROR(__xludf.DUMMYFUNCTION("""COMPUTED_VALUE"""),"Hand")</f>
        <v>Hand</v>
      </c>
      <c r="E367" s="2">
        <f>IFERROR(__xludf.DUMMYFUNCTION("""COMPUTED_VALUE"""),400.0)</f>
        <v>400</v>
      </c>
      <c r="F367" s="2" t="str">
        <f>IFERROR(__xludf.DUMMYFUNCTION("""COMPUTED_VALUE"""),"DMG: +10000, Blood DMG: +10000")</f>
        <v>DMG: +10000, Blood DMG: +10000</v>
      </c>
      <c r="G367" s="2">
        <f>IFERROR(__xludf.DUMMYFUNCTION("""COMPUTED_VALUE"""),7800000.0)</f>
        <v>7800000</v>
      </c>
      <c r="H367" s="2"/>
      <c r="I367" s="2"/>
      <c r="J367" s="2"/>
      <c r="K367" s="2"/>
      <c r="L367" s="2"/>
      <c r="M367" s="2"/>
      <c r="N367" s="2"/>
      <c r="O367" s="2"/>
      <c r="P367" s="2"/>
      <c r="Q367" s="2"/>
      <c r="R367" s="2"/>
      <c r="S367" s="2"/>
      <c r="T367" s="2"/>
      <c r="U367" s="2"/>
      <c r="V367" s="2"/>
      <c r="W367" s="2"/>
      <c r="X367" s="2"/>
      <c r="Y367" s="2"/>
      <c r="Z367" s="2"/>
    </row>
    <row r="368">
      <c r="A368" s="2" t="str">
        <f>IFERROR(__xludf.DUMMYFUNCTION("""COMPUTED_VALUE"""),"Lazer Infused Railgun")</f>
        <v>Lazer Infused Railgun</v>
      </c>
      <c r="B368" s="2"/>
      <c r="C368" s="2" t="str">
        <f>IFERROR(__xludf.DUMMYFUNCTION("""COMPUTED_VALUE"""),"Firearm")</f>
        <v>Firearm</v>
      </c>
      <c r="D368" s="2" t="str">
        <f>IFERROR(__xludf.DUMMYFUNCTION("""COMPUTED_VALUE"""),"Hand")</f>
        <v>Hand</v>
      </c>
      <c r="E368" s="2">
        <f>IFERROR(__xludf.DUMMYFUNCTION("""COMPUTED_VALUE"""),1600.0)</f>
        <v>1600</v>
      </c>
      <c r="F368" s="2" t="str">
        <f>IFERROR(__xludf.DUMMYFUNCTION("""COMPUTED_VALUE"""),"DMG: +40000, Blood DMG: +40000 ++Damages all enemies, Cannot Avoid. ++Ignores defense, ++Does not need ammunition. +-Cannot be forged. ")</f>
        <v>DMG: +40000, Blood DMG: +40000 ++Damages all enemies, Cannot Avoid. ++Ignores defense, ++Does not need ammunition. +-Cannot be forged. </v>
      </c>
      <c r="G368" s="2">
        <f>IFERROR(__xludf.DUMMYFUNCTION("""COMPUTED_VALUE"""),1.272E8)</f>
        <v>127200000</v>
      </c>
      <c r="H368" s="2"/>
      <c r="I368" s="2"/>
      <c r="J368" s="2"/>
      <c r="K368" s="2"/>
      <c r="L368" s="2"/>
      <c r="M368" s="2"/>
      <c r="N368" s="2"/>
      <c r="O368" s="2"/>
      <c r="P368" s="2"/>
      <c r="Q368" s="2"/>
      <c r="R368" s="2"/>
      <c r="S368" s="2"/>
      <c r="T368" s="2"/>
      <c r="U368" s="2"/>
      <c r="V368" s="2"/>
      <c r="W368" s="2"/>
      <c r="X368" s="2"/>
      <c r="Y368" s="2"/>
      <c r="Z368" s="2"/>
    </row>
    <row r="369">
      <c r="A369" s="2" t="str">
        <f>IFERROR(__xludf.DUMMYFUNCTION("""COMPUTED_VALUE"""),"Minigun")</f>
        <v>Minigun</v>
      </c>
      <c r="B369" s="2"/>
      <c r="C369" s="2" t="str">
        <f>IFERROR(__xludf.DUMMYFUNCTION("""COMPUTED_VALUE"""),"Firearm")</f>
        <v>Firearm</v>
      </c>
      <c r="D369" s="2" t="str">
        <f>IFERROR(__xludf.DUMMYFUNCTION("""COMPUTED_VALUE"""),"Hand")</f>
        <v>Hand</v>
      </c>
      <c r="E369" s="2">
        <f>IFERROR(__xludf.DUMMYFUNCTION("""COMPUTED_VALUE"""),1200.0)</f>
        <v>1200</v>
      </c>
      <c r="F369" s="2" t="str">
        <f>IFERROR(__xludf.DUMMYFUNCTION("""COMPUTED_VALUE"""),"DMG: +30000, Blood DMG: +30000 ++Damages all enemies, Cannot Avoid, Roll a d100 the turn you use this weapon to see how many bullets it shoots.")</f>
        <v>DMG: +30000, Blood DMG: +30000 ++Damages all enemies, Cannot Avoid, Roll a d100 the turn you use this weapon to see how many bullets it shoots.</v>
      </c>
      <c r="G369" s="2">
        <f>IFERROR(__xludf.DUMMYFUNCTION("""COMPUTED_VALUE"""),7.14E7)</f>
        <v>71400000</v>
      </c>
      <c r="H369" s="2"/>
      <c r="I369" s="2"/>
      <c r="J369" s="2"/>
      <c r="K369" s="2"/>
      <c r="L369" s="2"/>
      <c r="M369" s="2"/>
      <c r="N369" s="2"/>
      <c r="O369" s="2"/>
      <c r="P369" s="2"/>
      <c r="Q369" s="2"/>
      <c r="R369" s="2"/>
      <c r="S369" s="2"/>
      <c r="T369" s="2"/>
      <c r="U369" s="2"/>
      <c r="V369" s="2"/>
      <c r="W369" s="2"/>
      <c r="X369" s="2"/>
      <c r="Y369" s="2"/>
      <c r="Z369" s="2"/>
    </row>
    <row r="370">
      <c r="A370" s="2" t="str">
        <f>IFERROR(__xludf.DUMMYFUNCTION("""COMPUTED_VALUE"""),"Seahorse’s Ring")</f>
        <v>Seahorse’s Ring</v>
      </c>
      <c r="B370" s="2"/>
      <c r="C370" s="2"/>
      <c r="D370" s="2" t="str">
        <f>IFERROR(__xludf.DUMMYFUNCTION("""COMPUTED_VALUE"""),"Ring")</f>
        <v>Ring</v>
      </c>
      <c r="E370" s="2">
        <f>IFERROR(__xludf.DUMMYFUNCTION("""COMPUTED_VALUE"""),20.0)</f>
        <v>20</v>
      </c>
      <c r="F370" s="2" t="str">
        <f>IFERROR(__xludf.DUMMYFUNCTION("""COMPUTED_VALUE"""),", Nature : +1000 ++When fishing you have a 5% chance to encounter a rare seahorse, and he will give you a unique item (Chosen by a DM/GM)")</f>
        <v>, Nature : +1000 ++When fishing you have a 5% chance to encounter a rare seahorse, and he will give you a unique item (Chosen by a DM/GM)</v>
      </c>
      <c r="G370" s="2">
        <f>IFERROR(__xludf.DUMMYFUNCTION("""COMPUTED_VALUE"""),10000.0)</f>
        <v>10000</v>
      </c>
      <c r="H370" s="2"/>
      <c r="I370" s="2"/>
      <c r="J370" s="2"/>
      <c r="K370" s="2"/>
      <c r="L370" s="2"/>
      <c r="M370" s="2"/>
      <c r="N370" s="2"/>
      <c r="O370" s="2"/>
      <c r="P370" s="2"/>
      <c r="Q370" s="2"/>
      <c r="R370" s="2"/>
      <c r="S370" s="2"/>
      <c r="T370" s="2"/>
      <c r="U370" s="2"/>
      <c r="V370" s="2"/>
      <c r="W370" s="2"/>
      <c r="X370" s="2"/>
      <c r="Y370" s="2"/>
      <c r="Z370" s="2"/>
    </row>
    <row r="371">
      <c r="A371" s="2" t="str">
        <f>IFERROR(__xludf.DUMMYFUNCTION("""COMPUTED_VALUE"""),"Bamboo Vambraces")</f>
        <v>Bamboo Vambraces</v>
      </c>
      <c r="B371" s="2"/>
      <c r="C371" s="2"/>
      <c r="D371" s="2" t="str">
        <f>IFERROR(__xludf.DUMMYFUNCTION("""COMPUTED_VALUE"""),"Arms")</f>
        <v>Arms</v>
      </c>
      <c r="E371" s="2">
        <f>IFERROR(__xludf.DUMMYFUNCTION("""COMPUTED_VALUE"""),40.0)</f>
        <v>40</v>
      </c>
      <c r="F371" s="2" t="str">
        <f>IFERROR(__xludf.DUMMYFUNCTION("""COMPUTED_VALUE"""),"DEF: +1000, Nature DEF: +1000")</f>
        <v>DEF: +1000, Nature DEF: +1000</v>
      </c>
      <c r="G371" s="2">
        <f>IFERROR(__xludf.DUMMYFUNCTION("""COMPUTED_VALUE"""),60000.0)</f>
        <v>60000</v>
      </c>
      <c r="H371" s="2"/>
      <c r="I371" s="2"/>
      <c r="J371" s="2"/>
      <c r="K371" s="2"/>
      <c r="L371" s="2"/>
      <c r="M371" s="2"/>
      <c r="N371" s="2"/>
      <c r="O371" s="2"/>
      <c r="P371" s="2"/>
      <c r="Q371" s="2"/>
      <c r="R371" s="2"/>
      <c r="S371" s="2"/>
      <c r="T371" s="2"/>
      <c r="U371" s="2"/>
      <c r="V371" s="2"/>
      <c r="W371" s="2"/>
      <c r="X371" s="2"/>
      <c r="Y371" s="2"/>
      <c r="Z371" s="2"/>
    </row>
    <row r="372">
      <c r="A372" s="2" t="str">
        <f>IFERROR(__xludf.DUMMYFUNCTION("""COMPUTED_VALUE"""),"Bamboo Pauldrons")</f>
        <v>Bamboo Pauldrons</v>
      </c>
      <c r="B372" s="2"/>
      <c r="C372" s="2"/>
      <c r="D372" s="2" t="str">
        <f>IFERROR(__xludf.DUMMYFUNCTION("""COMPUTED_VALUE"""),"Shoulders")</f>
        <v>Shoulders</v>
      </c>
      <c r="E372" s="2">
        <f>IFERROR(__xludf.DUMMYFUNCTION("""COMPUTED_VALUE"""),40.0)</f>
        <v>40</v>
      </c>
      <c r="F372" s="2" t="str">
        <f>IFERROR(__xludf.DUMMYFUNCTION("""COMPUTED_VALUE"""),"DEF: +1000, Nature DEF: +1000")</f>
        <v>DEF: +1000, Nature DEF: +1000</v>
      </c>
      <c r="G372" s="2">
        <f>IFERROR(__xludf.DUMMYFUNCTION("""COMPUTED_VALUE"""),60000.0)</f>
        <v>60000</v>
      </c>
      <c r="H372" s="2"/>
      <c r="I372" s="2"/>
      <c r="J372" s="2"/>
      <c r="K372" s="2"/>
      <c r="L372" s="2"/>
      <c r="M372" s="2"/>
      <c r="N372" s="2"/>
      <c r="O372" s="2"/>
      <c r="P372" s="2"/>
      <c r="Q372" s="2"/>
      <c r="R372" s="2"/>
      <c r="S372" s="2"/>
      <c r="T372" s="2"/>
      <c r="U372" s="2"/>
      <c r="V372" s="2"/>
      <c r="W372" s="2"/>
      <c r="X372" s="2"/>
      <c r="Y372" s="2"/>
      <c r="Z372" s="2"/>
    </row>
    <row r="373">
      <c r="A373" s="2" t="str">
        <f>IFERROR(__xludf.DUMMYFUNCTION("""COMPUTED_VALUE"""),"Bamboo Chestplate")</f>
        <v>Bamboo Chestplate</v>
      </c>
      <c r="B373" s="2"/>
      <c r="C373" s="2"/>
      <c r="D373" s="2" t="str">
        <f>IFERROR(__xludf.DUMMYFUNCTION("""COMPUTED_VALUE"""),"Torso")</f>
        <v>Torso</v>
      </c>
      <c r="E373" s="2">
        <f>IFERROR(__xludf.DUMMYFUNCTION("""COMPUTED_VALUE"""),40.0)</f>
        <v>40</v>
      </c>
      <c r="F373" s="2" t="str">
        <f>IFERROR(__xludf.DUMMYFUNCTION("""COMPUTED_VALUE"""),"DEF: +1000, Nature DEF: +1000")</f>
        <v>DEF: +1000, Nature DEF: +1000</v>
      </c>
      <c r="G373" s="2">
        <f>IFERROR(__xludf.DUMMYFUNCTION("""COMPUTED_VALUE"""),60000.0)</f>
        <v>60000</v>
      </c>
      <c r="H373" s="2"/>
      <c r="I373" s="2"/>
      <c r="J373" s="2"/>
      <c r="K373" s="2"/>
      <c r="L373" s="2"/>
      <c r="M373" s="2"/>
      <c r="N373" s="2"/>
      <c r="O373" s="2"/>
      <c r="P373" s="2"/>
      <c r="Q373" s="2"/>
      <c r="R373" s="2"/>
      <c r="S373" s="2"/>
      <c r="T373" s="2"/>
      <c r="U373" s="2"/>
      <c r="V373" s="2"/>
      <c r="W373" s="2"/>
      <c r="X373" s="2"/>
      <c r="Y373" s="2"/>
      <c r="Z373" s="2"/>
    </row>
    <row r="374">
      <c r="A374" s="2" t="str">
        <f>IFERROR(__xludf.DUMMYFUNCTION("""COMPUTED_VALUE"""),"Bamboo Greaves")</f>
        <v>Bamboo Greaves</v>
      </c>
      <c r="B374" s="2"/>
      <c r="C374" s="2"/>
      <c r="D374" s="2" t="str">
        <f>IFERROR(__xludf.DUMMYFUNCTION("""COMPUTED_VALUE"""),"Legs")</f>
        <v>Legs</v>
      </c>
      <c r="E374" s="2">
        <f>IFERROR(__xludf.DUMMYFUNCTION("""COMPUTED_VALUE"""),40.0)</f>
        <v>40</v>
      </c>
      <c r="F374" s="2" t="str">
        <f>IFERROR(__xludf.DUMMYFUNCTION("""COMPUTED_VALUE"""),"DEF: +1000, Nature DEF: +1000")</f>
        <v>DEF: +1000, Nature DEF: +1000</v>
      </c>
      <c r="G374" s="2">
        <f>IFERROR(__xludf.DUMMYFUNCTION("""COMPUTED_VALUE"""),60000.0)</f>
        <v>60000</v>
      </c>
      <c r="H374" s="2"/>
      <c r="I374" s="2"/>
      <c r="J374" s="2"/>
      <c r="K374" s="2"/>
      <c r="L374" s="2"/>
      <c r="M374" s="2"/>
      <c r="N374" s="2"/>
      <c r="O374" s="2"/>
      <c r="P374" s="2"/>
      <c r="Q374" s="2"/>
      <c r="R374" s="2"/>
      <c r="S374" s="2"/>
      <c r="T374" s="2"/>
      <c r="U374" s="2"/>
      <c r="V374" s="2"/>
      <c r="W374" s="2"/>
      <c r="X374" s="2"/>
      <c r="Y374" s="2"/>
      <c r="Z374" s="2"/>
    </row>
    <row r="375">
      <c r="A375" s="2" t="str">
        <f>IFERROR(__xludf.DUMMYFUNCTION("""COMPUTED_VALUE"""),"Strengthened Bamboo Sword")</f>
        <v>Strengthened Bamboo Sword</v>
      </c>
      <c r="B375" s="2"/>
      <c r="C375" s="2" t="str">
        <f>IFERROR(__xludf.DUMMYFUNCTION("""COMPUTED_VALUE"""),"Sword")</f>
        <v>Sword</v>
      </c>
      <c r="D375" s="2" t="str">
        <f>IFERROR(__xludf.DUMMYFUNCTION("""COMPUTED_VALUE"""),"Hand")</f>
        <v>Hand</v>
      </c>
      <c r="E375" s="2">
        <f>IFERROR(__xludf.DUMMYFUNCTION("""COMPUTED_VALUE"""),40.0)</f>
        <v>40</v>
      </c>
      <c r="F375" s="2" t="str">
        <f>IFERROR(__xludf.DUMMYFUNCTION("""COMPUTED_VALUE"""),"DMG: +1000, Nature DMG: +1000 ++X4 damage for this weapon if the battle is in a Forest or Jungle.")</f>
        <v>DMG: +1000, Nature DMG: +1000 ++X4 damage for this weapon if the battle is in a Forest or Jungle.</v>
      </c>
      <c r="G375" s="2">
        <f>IFERROR(__xludf.DUMMYFUNCTION("""COMPUTED_VALUE"""),60000.0)</f>
        <v>60000</v>
      </c>
      <c r="H375" s="2"/>
      <c r="I375" s="2"/>
      <c r="J375" s="2"/>
      <c r="K375" s="2"/>
      <c r="L375" s="2"/>
      <c r="M375" s="2"/>
      <c r="N375" s="2"/>
      <c r="O375" s="2"/>
      <c r="P375" s="2"/>
      <c r="Q375" s="2"/>
      <c r="R375" s="2"/>
      <c r="S375" s="2"/>
      <c r="T375" s="2"/>
      <c r="U375" s="2"/>
      <c r="V375" s="2"/>
      <c r="W375" s="2"/>
      <c r="X375" s="2"/>
      <c r="Y375" s="2"/>
      <c r="Z375" s="2"/>
    </row>
    <row r="376">
      <c r="A376" s="2" t="str">
        <f>IFERROR(__xludf.DUMMYFUNCTION("""COMPUTED_VALUE"""),"Bamboo Sandals")</f>
        <v>Bamboo Sandals</v>
      </c>
      <c r="B376" s="2"/>
      <c r="C376" s="2"/>
      <c r="D376" s="2" t="str">
        <f>IFERROR(__xludf.DUMMYFUNCTION("""COMPUTED_VALUE"""),"Feet")</f>
        <v>Feet</v>
      </c>
      <c r="E376" s="2">
        <f>IFERROR(__xludf.DUMMYFUNCTION("""COMPUTED_VALUE"""),40.0)</f>
        <v>40</v>
      </c>
      <c r="F376" s="2" t="str">
        <f>IFERROR(__xludf.DUMMYFUNCTION("""COMPUTED_VALUE"""),"DEF: +1000, Nature DEF: +1000")</f>
        <v>DEF: +1000, Nature DEF: +1000</v>
      </c>
      <c r="G376" s="2">
        <f>IFERROR(__xludf.DUMMYFUNCTION("""COMPUTED_VALUE"""),60000.0)</f>
        <v>60000</v>
      </c>
      <c r="H376" s="2"/>
      <c r="I376" s="2"/>
      <c r="J376" s="2"/>
      <c r="K376" s="2"/>
      <c r="L376" s="2"/>
      <c r="M376" s="2"/>
      <c r="N376" s="2"/>
      <c r="O376" s="2"/>
      <c r="P376" s="2"/>
      <c r="Q376" s="2"/>
      <c r="R376" s="2"/>
      <c r="S376" s="2"/>
      <c r="T376" s="2"/>
      <c r="U376" s="2"/>
      <c r="V376" s="2"/>
      <c r="W376" s="2"/>
      <c r="X376" s="2"/>
      <c r="Y376" s="2"/>
      <c r="Z376" s="2"/>
    </row>
    <row r="377">
      <c r="A377" s="2" t="str">
        <f>IFERROR(__xludf.DUMMYFUNCTION("""COMPUTED_VALUE"""),"Greaves of Foul Night")</f>
        <v>Greaves of Foul Night</v>
      </c>
      <c r="B377" s="2"/>
      <c r="C377" s="2"/>
      <c r="D377" s="2" t="str">
        <f>IFERROR(__xludf.DUMMYFUNCTION("""COMPUTED_VALUE"""),"Legs")</f>
        <v>Legs</v>
      </c>
      <c r="E377" s="2">
        <f>IFERROR(__xludf.DUMMYFUNCTION("""COMPUTED_VALUE"""),200.0)</f>
        <v>200</v>
      </c>
      <c r="F377" s="2" t="str">
        <f>IFERROR(__xludf.DUMMYFUNCTION("""COMPUTED_VALUE"""),"DEF: +5000, Nature DEF: +5000 (Foul Night Set) ++X2 Nature and Poison damage, Poison Immunity.")</f>
        <v>DEF: +5000, Nature DEF: +5000 (Foul Night Set) ++X2 Nature and Poison damage, Poison Immunity.</v>
      </c>
      <c r="G377" s="2">
        <f>IFERROR(__xludf.DUMMYFUNCTION("""COMPUTED_VALUE"""),1900000.0)</f>
        <v>1900000</v>
      </c>
      <c r="H377" s="2"/>
      <c r="I377" s="2"/>
      <c r="J377" s="2"/>
      <c r="K377" s="2"/>
      <c r="L377" s="2"/>
      <c r="M377" s="2"/>
      <c r="N377" s="2"/>
      <c r="O377" s="2"/>
      <c r="P377" s="2"/>
      <c r="Q377" s="2"/>
      <c r="R377" s="2"/>
      <c r="S377" s="2"/>
      <c r="T377" s="2"/>
      <c r="U377" s="2"/>
      <c r="V377" s="2"/>
      <c r="W377" s="2"/>
      <c r="X377" s="2"/>
      <c r="Y377" s="2"/>
      <c r="Z377" s="2"/>
    </row>
    <row r="378">
      <c r="A378" s="2" t="str">
        <f>IFERROR(__xludf.DUMMYFUNCTION("""COMPUTED_VALUE"""),"Vambraces of Foul Night")</f>
        <v>Vambraces of Foul Night</v>
      </c>
      <c r="B378" s="2"/>
      <c r="C378" s="2"/>
      <c r="D378" s="2" t="str">
        <f>IFERROR(__xludf.DUMMYFUNCTION("""COMPUTED_VALUE"""),"Arms")</f>
        <v>Arms</v>
      </c>
      <c r="E378" s="2">
        <f>IFERROR(__xludf.DUMMYFUNCTION("""COMPUTED_VALUE"""),200.0)</f>
        <v>200</v>
      </c>
      <c r="F378" s="2" t="str">
        <f>IFERROR(__xludf.DUMMYFUNCTION("""COMPUTED_VALUE"""),"DEF: +5000, Dark DEF: +5000 (Foul Night Set) ++X2 Dark and Poison damage, Poison Immunity.")</f>
        <v>DEF: +5000, Dark DEF: +5000 (Foul Night Set) ++X2 Dark and Poison damage, Poison Immunity.</v>
      </c>
      <c r="G378" s="2">
        <f>IFERROR(__xludf.DUMMYFUNCTION("""COMPUTED_VALUE"""),1900000.0)</f>
        <v>1900000</v>
      </c>
      <c r="H378" s="2"/>
      <c r="I378" s="2"/>
      <c r="J378" s="2"/>
      <c r="K378" s="2"/>
      <c r="L378" s="2"/>
      <c r="M378" s="2"/>
      <c r="N378" s="2"/>
      <c r="O378" s="2"/>
      <c r="P378" s="2"/>
      <c r="Q378" s="2"/>
      <c r="R378" s="2"/>
      <c r="S378" s="2"/>
      <c r="T378" s="2"/>
      <c r="U378" s="2"/>
      <c r="V378" s="2"/>
      <c r="W378" s="2"/>
      <c r="X378" s="2"/>
      <c r="Y378" s="2"/>
      <c r="Z378" s="2"/>
    </row>
    <row r="379">
      <c r="A379" s="2" t="str">
        <f>IFERROR(__xludf.DUMMYFUNCTION("""COMPUTED_VALUE"""),"Boots of Foul Night")</f>
        <v>Boots of Foul Night</v>
      </c>
      <c r="B379" s="2"/>
      <c r="C379" s="2"/>
      <c r="D379" s="2" t="str">
        <f>IFERROR(__xludf.DUMMYFUNCTION("""COMPUTED_VALUE"""),"Feet")</f>
        <v>Feet</v>
      </c>
      <c r="E379" s="2">
        <f>IFERROR(__xludf.DUMMYFUNCTION("""COMPUTED_VALUE"""),200.0)</f>
        <v>200</v>
      </c>
      <c r="F379" s="2" t="str">
        <f>IFERROR(__xludf.DUMMYFUNCTION("""COMPUTED_VALUE"""),"DEF: +5000, Dark DEF: +5000 (Foul Night Set) ++X2 Dark and Poison damage, Poison Immunity.")</f>
        <v>DEF: +5000, Dark DEF: +5000 (Foul Night Set) ++X2 Dark and Poison damage, Poison Immunity.</v>
      </c>
      <c r="G379" s="2">
        <f>IFERROR(__xludf.DUMMYFUNCTION("""COMPUTED_VALUE"""),1900000.0)</f>
        <v>1900000</v>
      </c>
      <c r="H379" s="2"/>
      <c r="I379" s="2"/>
      <c r="J379" s="2"/>
      <c r="K379" s="2"/>
      <c r="L379" s="2"/>
      <c r="M379" s="2"/>
      <c r="N379" s="2"/>
      <c r="O379" s="2"/>
      <c r="P379" s="2"/>
      <c r="Q379" s="2"/>
      <c r="R379" s="2"/>
      <c r="S379" s="2"/>
      <c r="T379" s="2"/>
      <c r="U379" s="2"/>
      <c r="V379" s="2"/>
      <c r="W379" s="2"/>
      <c r="X379" s="2"/>
      <c r="Y379" s="2"/>
      <c r="Z379" s="2"/>
    </row>
    <row r="380">
      <c r="A380" s="2" t="str">
        <f>IFERROR(__xludf.DUMMYFUNCTION("""COMPUTED_VALUE"""),"Pauldrons of Foul Night")</f>
        <v>Pauldrons of Foul Night</v>
      </c>
      <c r="B380" s="2"/>
      <c r="C380" s="2"/>
      <c r="D380" s="2" t="str">
        <f>IFERROR(__xludf.DUMMYFUNCTION("""COMPUTED_VALUE"""),"Shoulders")</f>
        <v>Shoulders</v>
      </c>
      <c r="E380" s="2">
        <f>IFERROR(__xludf.DUMMYFUNCTION("""COMPUTED_VALUE"""),200.0)</f>
        <v>200</v>
      </c>
      <c r="F380" s="2" t="str">
        <f>IFERROR(__xludf.DUMMYFUNCTION("""COMPUTED_VALUE"""),"DEF: +5000, Dark DEF: +5000 (Foul Night Set) ++X2 Dark and Poison damage, Poison Immunity.")</f>
        <v>DEF: +5000, Dark DEF: +5000 (Foul Night Set) ++X2 Dark and Poison damage, Poison Immunity.</v>
      </c>
      <c r="G380" s="2">
        <f>IFERROR(__xludf.DUMMYFUNCTION("""COMPUTED_VALUE"""),1900000.0)</f>
        <v>1900000</v>
      </c>
      <c r="H380" s="2"/>
      <c r="I380" s="2"/>
      <c r="J380" s="2"/>
      <c r="K380" s="2"/>
      <c r="L380" s="2"/>
      <c r="M380" s="2"/>
      <c r="N380" s="2"/>
      <c r="O380" s="2"/>
      <c r="P380" s="2"/>
      <c r="Q380" s="2"/>
      <c r="R380" s="2"/>
      <c r="S380" s="2"/>
      <c r="T380" s="2"/>
      <c r="U380" s="2"/>
      <c r="V380" s="2"/>
      <c r="W380" s="2"/>
      <c r="X380" s="2"/>
      <c r="Y380" s="2"/>
      <c r="Z380" s="2"/>
    </row>
    <row r="381">
      <c r="A381" s="2" t="str">
        <f>IFERROR(__xludf.DUMMYFUNCTION("""COMPUTED_VALUE"""),"Crystal Forged Pauldrons")</f>
        <v>Crystal Forged Pauldrons</v>
      </c>
      <c r="B381" s="2"/>
      <c r="C381" s="2"/>
      <c r="D381" s="2" t="str">
        <f>IFERROR(__xludf.DUMMYFUNCTION("""COMPUTED_VALUE"""),"Shoulders")</f>
        <v>Shoulders</v>
      </c>
      <c r="E381" s="2">
        <f>IFERROR(__xludf.DUMMYFUNCTION("""COMPUTED_VALUE"""),200.0)</f>
        <v>200</v>
      </c>
      <c r="F381" s="2" t="str">
        <f>IFERROR(__xludf.DUMMYFUNCTION("""COMPUTED_VALUE"""),"DEF: +5000, Earth DEF: +5000 ++When equipped, Gem and Crystal related weapons deal an additional X2 damage for the user.")</f>
        <v>DEF: +5000, Earth DEF: +5000 ++When equipped, Gem and Crystal related weapons deal an additional X2 damage for the user.</v>
      </c>
      <c r="G381" s="2">
        <f>IFERROR(__xludf.DUMMYFUNCTION("""COMPUTED_VALUE"""),1900000.0)</f>
        <v>1900000</v>
      </c>
      <c r="H381" s="2"/>
      <c r="I381" s="2"/>
      <c r="J381" s="2"/>
      <c r="K381" s="2"/>
      <c r="L381" s="2"/>
      <c r="M381" s="2"/>
      <c r="N381" s="2"/>
      <c r="O381" s="2"/>
      <c r="P381" s="2"/>
      <c r="Q381" s="2"/>
      <c r="R381" s="2"/>
      <c r="S381" s="2"/>
      <c r="T381" s="2"/>
      <c r="U381" s="2"/>
      <c r="V381" s="2"/>
      <c r="W381" s="2"/>
      <c r="X381" s="2"/>
      <c r="Y381" s="2"/>
      <c r="Z381" s="2"/>
    </row>
    <row r="382">
      <c r="A382" s="2" t="str">
        <f>IFERROR(__xludf.DUMMYFUNCTION("""COMPUTED_VALUE"""),"Crystal Forged Greaves")</f>
        <v>Crystal Forged Greaves</v>
      </c>
      <c r="B382" s="2"/>
      <c r="C382" s="2"/>
      <c r="D382" s="2" t="str">
        <f>IFERROR(__xludf.DUMMYFUNCTION("""COMPUTED_VALUE"""),"Legs")</f>
        <v>Legs</v>
      </c>
      <c r="E382" s="2">
        <f>IFERROR(__xludf.DUMMYFUNCTION("""COMPUTED_VALUE"""),200.0)</f>
        <v>200</v>
      </c>
      <c r="F382" s="2" t="str">
        <f>IFERROR(__xludf.DUMMYFUNCTION("""COMPUTED_VALUE"""),"DEF: +5000, Earth DEF: +5000 ++When equipped, Gem and Crystal related weapons deal an additional X2 damage for the user.")</f>
        <v>DEF: +5000, Earth DEF: +5000 ++When equipped, Gem and Crystal related weapons deal an additional X2 damage for the user.</v>
      </c>
      <c r="G382" s="2">
        <f>IFERROR(__xludf.DUMMYFUNCTION("""COMPUTED_VALUE"""),1900000.0)</f>
        <v>1900000</v>
      </c>
      <c r="H382" s="2"/>
      <c r="I382" s="2"/>
      <c r="J382" s="2"/>
      <c r="K382" s="2"/>
      <c r="L382" s="2"/>
      <c r="M382" s="2"/>
      <c r="N382" s="2"/>
      <c r="O382" s="2"/>
      <c r="P382" s="2"/>
      <c r="Q382" s="2"/>
      <c r="R382" s="2"/>
      <c r="S382" s="2"/>
      <c r="T382" s="2"/>
      <c r="U382" s="2"/>
      <c r="V382" s="2"/>
      <c r="W382" s="2"/>
      <c r="X382" s="2"/>
      <c r="Y382" s="2"/>
      <c r="Z382" s="2"/>
    </row>
    <row r="383">
      <c r="A383" s="2" t="str">
        <f>IFERROR(__xludf.DUMMYFUNCTION("""COMPUTED_VALUE"""),"Crystal Forged Boots")</f>
        <v>Crystal Forged Boots</v>
      </c>
      <c r="B383" s="2"/>
      <c r="C383" s="2"/>
      <c r="D383" s="2" t="str">
        <f>IFERROR(__xludf.DUMMYFUNCTION("""COMPUTED_VALUE"""),"Feet")</f>
        <v>Feet</v>
      </c>
      <c r="E383" s="2">
        <f>IFERROR(__xludf.DUMMYFUNCTION("""COMPUTED_VALUE"""),200.0)</f>
        <v>200</v>
      </c>
      <c r="F383" s="2" t="str">
        <f>IFERROR(__xludf.DUMMYFUNCTION("""COMPUTED_VALUE"""),"DEF: +5000, Earth DEF: +5000 ++When equipped, Gem and Crystal related weapons deal an additional X2 damage for the user.")</f>
        <v>DEF: +5000, Earth DEF: +5000 ++When equipped, Gem and Crystal related weapons deal an additional X2 damage for the user.</v>
      </c>
      <c r="G383" s="2">
        <f>IFERROR(__xludf.DUMMYFUNCTION("""COMPUTED_VALUE"""),1900000.0)</f>
        <v>1900000</v>
      </c>
      <c r="H383" s="2"/>
      <c r="I383" s="2"/>
      <c r="J383" s="2"/>
      <c r="K383" s="2"/>
      <c r="L383" s="2"/>
      <c r="M383" s="2"/>
      <c r="N383" s="2"/>
      <c r="O383" s="2"/>
      <c r="P383" s="2"/>
      <c r="Q383" s="2"/>
      <c r="R383" s="2"/>
      <c r="S383" s="2"/>
      <c r="T383" s="2"/>
      <c r="U383" s="2"/>
      <c r="V383" s="2"/>
      <c r="W383" s="2"/>
      <c r="X383" s="2"/>
      <c r="Y383" s="2"/>
      <c r="Z383" s="2"/>
    </row>
    <row r="384">
      <c r="A384" s="2" t="str">
        <f>IFERROR(__xludf.DUMMYFUNCTION("""COMPUTED_VALUE"""),"Crystal Forged Vambraces")</f>
        <v>Crystal Forged Vambraces</v>
      </c>
      <c r="B384" s="2"/>
      <c r="C384" s="2"/>
      <c r="D384" s="2" t="str">
        <f>IFERROR(__xludf.DUMMYFUNCTION("""COMPUTED_VALUE"""),"Arms")</f>
        <v>Arms</v>
      </c>
      <c r="E384" s="2">
        <f>IFERROR(__xludf.DUMMYFUNCTION("""COMPUTED_VALUE"""),200.0)</f>
        <v>200</v>
      </c>
      <c r="F384" s="2" t="str">
        <f>IFERROR(__xludf.DUMMYFUNCTION("""COMPUTED_VALUE"""),"DEF: +5000, Earth DEF: +5000 ++When equipped, Gem and Crystal related weapons deal an additional X2 damage for the user.")</f>
        <v>DEF: +5000, Earth DEF: +5000 ++When equipped, Gem and Crystal related weapons deal an additional X2 damage for the user.</v>
      </c>
      <c r="G384" s="2">
        <f>IFERROR(__xludf.DUMMYFUNCTION("""COMPUTED_VALUE"""),1900000.0)</f>
        <v>1900000</v>
      </c>
      <c r="H384" s="2"/>
      <c r="I384" s="2"/>
      <c r="J384" s="2"/>
      <c r="K384" s="2"/>
      <c r="L384" s="2"/>
      <c r="M384" s="2"/>
      <c r="N384" s="2"/>
      <c r="O384" s="2"/>
      <c r="P384" s="2"/>
      <c r="Q384" s="2"/>
      <c r="R384" s="2"/>
      <c r="S384" s="2"/>
      <c r="T384" s="2"/>
      <c r="U384" s="2"/>
      <c r="V384" s="2"/>
      <c r="W384" s="2"/>
      <c r="X384" s="2"/>
      <c r="Y384" s="2"/>
      <c r="Z384" s="2"/>
    </row>
    <row r="385">
      <c r="A385" s="2" t="str">
        <f>IFERROR(__xludf.DUMMYFUNCTION("""COMPUTED_VALUE"""),"Fiddle")</f>
        <v>Fiddle</v>
      </c>
      <c r="B385" s="2"/>
      <c r="C385" s="2" t="str">
        <f>IFERROR(__xludf.DUMMYFUNCTION("""COMPUTED_VALUE"""),"Instrument")</f>
        <v>Instrument</v>
      </c>
      <c r="D385" s="2" t="str">
        <f>IFERROR(__xludf.DUMMYFUNCTION("""COMPUTED_VALUE"""),"Hand")</f>
        <v>Hand</v>
      </c>
      <c r="E385" s="2">
        <f>IFERROR(__xludf.DUMMYFUNCTION("""COMPUTED_VALUE"""),40.0)</f>
        <v>40</v>
      </c>
      <c r="F385" s="2" t="str">
        <f>IFERROR(__xludf.DUMMYFUNCTION("""COMPUTED_VALUE"""),"DMG: +2000")</f>
        <v>DMG: +2000</v>
      </c>
      <c r="G385" s="2">
        <f>IFERROR(__xludf.DUMMYFUNCTION("""COMPUTED_VALUE"""),60000.0)</f>
        <v>60000</v>
      </c>
      <c r="H385" s="2"/>
      <c r="I385" s="2"/>
      <c r="J385" s="2"/>
      <c r="K385" s="2"/>
      <c r="L385" s="2"/>
      <c r="M385" s="2"/>
      <c r="N385" s="2"/>
      <c r="O385" s="2"/>
      <c r="P385" s="2"/>
      <c r="Q385" s="2"/>
      <c r="R385" s="2"/>
      <c r="S385" s="2"/>
      <c r="T385" s="2"/>
      <c r="U385" s="2"/>
      <c r="V385" s="2"/>
      <c r="W385" s="2"/>
      <c r="X385" s="2"/>
      <c r="Y385" s="2"/>
      <c r="Z385" s="2"/>
    </row>
    <row r="386">
      <c r="A386" s="2" t="str">
        <f>IFERROR(__xludf.DUMMYFUNCTION("""COMPUTED_VALUE"""),"WyvernTail Blade")</f>
        <v>WyvernTail Blade</v>
      </c>
      <c r="B386" s="2"/>
      <c r="C386" s="2" t="str">
        <f>IFERROR(__xludf.DUMMYFUNCTION("""COMPUTED_VALUE"""),"Sword")</f>
        <v>Sword</v>
      </c>
      <c r="D386" s="2" t="str">
        <f>IFERROR(__xludf.DUMMYFUNCTION("""COMPUTED_VALUE"""),"Hand")</f>
        <v>Hand</v>
      </c>
      <c r="E386" s="2">
        <f>IFERROR(__xludf.DUMMYFUNCTION("""COMPUTED_VALUE"""),200.0)</f>
        <v>200</v>
      </c>
      <c r="F386" s="2" t="str">
        <f>IFERROR(__xludf.DUMMYFUNCTION("""COMPUTED_VALUE"""),"DMG: +5000, Water DMG: +5000 (Wyverntail Set) ++50% Chance to freeze the target being attacked by this weapon.")</f>
        <v>DMG: +5000, Water DMG: +5000 (Wyverntail Set) ++50% Chance to freeze the target being attacked by this weapon.</v>
      </c>
      <c r="G386" s="2">
        <f>IFERROR(__xludf.DUMMYFUNCTION("""COMPUTED_VALUE"""),1900000.0)</f>
        <v>1900000</v>
      </c>
      <c r="H386" s="2"/>
      <c r="I386" s="2"/>
      <c r="J386" s="2"/>
      <c r="K386" s="2"/>
      <c r="L386" s="2"/>
      <c r="M386" s="2"/>
      <c r="N386" s="2"/>
      <c r="O386" s="2"/>
      <c r="P386" s="2"/>
      <c r="Q386" s="2"/>
      <c r="R386" s="2"/>
      <c r="S386" s="2"/>
      <c r="T386" s="2"/>
      <c r="U386" s="2"/>
      <c r="V386" s="2"/>
      <c r="W386" s="2"/>
      <c r="X386" s="2"/>
      <c r="Y386" s="2"/>
      <c r="Z386" s="2"/>
    </row>
    <row r="387">
      <c r="A387" s="2" t="str">
        <f>IFERROR(__xludf.DUMMYFUNCTION("""COMPUTED_VALUE"""),"WyvernTail Helm")</f>
        <v>WyvernTail Helm</v>
      </c>
      <c r="B387" s="2"/>
      <c r="C387" s="2"/>
      <c r="D387" s="2" t="str">
        <f>IFERROR(__xludf.DUMMYFUNCTION("""COMPUTED_VALUE"""),"Head")</f>
        <v>Head</v>
      </c>
      <c r="E387" s="2">
        <f>IFERROR(__xludf.DUMMYFUNCTION("""COMPUTED_VALUE"""),200.0)</f>
        <v>200</v>
      </c>
      <c r="F387" s="2" t="str">
        <f>IFERROR(__xludf.DUMMYFUNCTION("""COMPUTED_VALUE"""),"DEF: +10000 (Wyverntail Set) ++Freeze Immunity")</f>
        <v>DEF: +10000 (Wyverntail Set) ++Freeze Immunity</v>
      </c>
      <c r="G387" s="2">
        <f>IFERROR(__xludf.DUMMYFUNCTION("""COMPUTED_VALUE"""),1900000.0)</f>
        <v>1900000</v>
      </c>
      <c r="H387" s="2"/>
      <c r="I387" s="2"/>
      <c r="J387" s="2"/>
      <c r="K387" s="2"/>
      <c r="L387" s="2"/>
      <c r="M387" s="2"/>
      <c r="N387" s="2"/>
      <c r="O387" s="2"/>
      <c r="P387" s="2"/>
      <c r="Q387" s="2"/>
      <c r="R387" s="2"/>
      <c r="S387" s="2"/>
      <c r="T387" s="2"/>
      <c r="U387" s="2"/>
      <c r="V387" s="2"/>
      <c r="W387" s="2"/>
      <c r="X387" s="2"/>
      <c r="Y387" s="2"/>
      <c r="Z387" s="2"/>
    </row>
    <row r="388">
      <c r="A388" s="2" t="str">
        <f>IFERROR(__xludf.DUMMYFUNCTION("""COMPUTED_VALUE"""),"WyvernTail Pauldrons")</f>
        <v>WyvernTail Pauldrons</v>
      </c>
      <c r="B388" s="2"/>
      <c r="C388" s="2"/>
      <c r="D388" s="2" t="str">
        <f>IFERROR(__xludf.DUMMYFUNCTION("""COMPUTED_VALUE"""),"Shoulders")</f>
        <v>Shoulders</v>
      </c>
      <c r="E388" s="2">
        <f>IFERROR(__xludf.DUMMYFUNCTION("""COMPUTED_VALUE"""),200.0)</f>
        <v>200</v>
      </c>
      <c r="F388" s="2" t="str">
        <f>IFERROR(__xludf.DUMMYFUNCTION("""COMPUTED_VALUE"""),"DEF: +10000 (Wyverntail Set) ++Freeze Immunity")</f>
        <v>DEF: +10000 (Wyverntail Set) ++Freeze Immunity</v>
      </c>
      <c r="G388" s="2">
        <f>IFERROR(__xludf.DUMMYFUNCTION("""COMPUTED_VALUE"""),1900000.0)</f>
        <v>1900000</v>
      </c>
      <c r="H388" s="2"/>
      <c r="I388" s="2"/>
      <c r="J388" s="2"/>
      <c r="K388" s="2"/>
      <c r="L388" s="2"/>
      <c r="M388" s="2"/>
      <c r="N388" s="2"/>
      <c r="O388" s="2"/>
      <c r="P388" s="2"/>
      <c r="Q388" s="2"/>
      <c r="R388" s="2"/>
      <c r="S388" s="2"/>
      <c r="T388" s="2"/>
      <c r="U388" s="2"/>
      <c r="V388" s="2"/>
      <c r="W388" s="2"/>
      <c r="X388" s="2"/>
      <c r="Y388" s="2"/>
      <c r="Z388" s="2"/>
    </row>
    <row r="389">
      <c r="A389" s="2" t="str">
        <f>IFERROR(__xludf.DUMMYFUNCTION("""COMPUTED_VALUE"""),"WyvernTail Chestplate")</f>
        <v>WyvernTail Chestplate</v>
      </c>
      <c r="B389" s="2"/>
      <c r="C389" s="2"/>
      <c r="D389" s="2" t="str">
        <f>IFERROR(__xludf.DUMMYFUNCTION("""COMPUTED_VALUE"""),"Torso")</f>
        <v>Torso</v>
      </c>
      <c r="E389" s="2">
        <f>IFERROR(__xludf.DUMMYFUNCTION("""COMPUTED_VALUE"""),200.0)</f>
        <v>200</v>
      </c>
      <c r="F389" s="2" t="str">
        <f>IFERROR(__xludf.DUMMYFUNCTION("""COMPUTED_VALUE"""),"DEF: +10000 (Wyverntail Set) ++Freeze Immunity")</f>
        <v>DEF: +10000 (Wyverntail Set) ++Freeze Immunity</v>
      </c>
      <c r="G389" s="2">
        <f>IFERROR(__xludf.DUMMYFUNCTION("""COMPUTED_VALUE"""),1900000.0)</f>
        <v>1900000</v>
      </c>
      <c r="H389" s="2"/>
      <c r="I389" s="2"/>
      <c r="J389" s="2"/>
      <c r="K389" s="2"/>
      <c r="L389" s="2"/>
      <c r="M389" s="2"/>
      <c r="N389" s="2"/>
      <c r="O389" s="2"/>
      <c r="P389" s="2"/>
      <c r="Q389" s="2"/>
      <c r="R389" s="2"/>
      <c r="S389" s="2"/>
      <c r="T389" s="2"/>
      <c r="U389" s="2"/>
      <c r="V389" s="2"/>
      <c r="W389" s="2"/>
      <c r="X389" s="2"/>
      <c r="Y389" s="2"/>
      <c r="Z389" s="2"/>
    </row>
    <row r="390">
      <c r="A390" s="2" t="str">
        <f>IFERROR(__xludf.DUMMYFUNCTION("""COMPUTED_VALUE"""),"WyvernTail Vambraces")</f>
        <v>WyvernTail Vambraces</v>
      </c>
      <c r="B390" s="2"/>
      <c r="C390" s="2"/>
      <c r="D390" s="2" t="str">
        <f>IFERROR(__xludf.DUMMYFUNCTION("""COMPUTED_VALUE"""),"Arms")</f>
        <v>Arms</v>
      </c>
      <c r="E390" s="2">
        <f>IFERROR(__xludf.DUMMYFUNCTION("""COMPUTED_VALUE"""),200.0)</f>
        <v>200</v>
      </c>
      <c r="F390" s="2" t="str">
        <f>IFERROR(__xludf.DUMMYFUNCTION("""COMPUTED_VALUE"""),"DEF: +10000 (Wyverntail Set) ++Freeze Immunity")</f>
        <v>DEF: +10000 (Wyverntail Set) ++Freeze Immunity</v>
      </c>
      <c r="G390" s="2">
        <f>IFERROR(__xludf.DUMMYFUNCTION("""COMPUTED_VALUE"""),1900000.0)</f>
        <v>1900000</v>
      </c>
      <c r="H390" s="2"/>
      <c r="I390" s="2"/>
      <c r="J390" s="2"/>
      <c r="K390" s="2"/>
      <c r="L390" s="2"/>
      <c r="M390" s="2"/>
      <c r="N390" s="2"/>
      <c r="O390" s="2"/>
      <c r="P390" s="2"/>
      <c r="Q390" s="2"/>
      <c r="R390" s="2"/>
      <c r="S390" s="2"/>
      <c r="T390" s="2"/>
      <c r="U390" s="2"/>
      <c r="V390" s="2"/>
      <c r="W390" s="2"/>
      <c r="X390" s="2"/>
      <c r="Y390" s="2"/>
      <c r="Z390" s="2"/>
    </row>
    <row r="391">
      <c r="A391" s="2" t="str">
        <f>IFERROR(__xludf.DUMMYFUNCTION("""COMPUTED_VALUE"""),"WyvernTail Greaves")</f>
        <v>WyvernTail Greaves</v>
      </c>
      <c r="B391" s="2"/>
      <c r="C391" s="2"/>
      <c r="D391" s="2" t="str">
        <f>IFERROR(__xludf.DUMMYFUNCTION("""COMPUTED_VALUE"""),"Legs")</f>
        <v>Legs</v>
      </c>
      <c r="E391" s="2">
        <f>IFERROR(__xludf.DUMMYFUNCTION("""COMPUTED_VALUE"""),200.0)</f>
        <v>200</v>
      </c>
      <c r="F391" s="2" t="str">
        <f>IFERROR(__xludf.DUMMYFUNCTION("""COMPUTED_VALUE"""),"DEF: +10000 (Wyverntail Set) ++Freeze Immunity")</f>
        <v>DEF: +10000 (Wyverntail Set) ++Freeze Immunity</v>
      </c>
      <c r="G391" s="2">
        <f>IFERROR(__xludf.DUMMYFUNCTION("""COMPUTED_VALUE"""),1900000.0)</f>
        <v>1900000</v>
      </c>
      <c r="H391" s="2"/>
      <c r="I391" s="2"/>
      <c r="J391" s="2"/>
      <c r="K391" s="2"/>
      <c r="L391" s="2"/>
      <c r="M391" s="2"/>
      <c r="N391" s="2"/>
      <c r="O391" s="2"/>
      <c r="P391" s="2"/>
      <c r="Q391" s="2"/>
      <c r="R391" s="2"/>
      <c r="S391" s="2"/>
      <c r="T391" s="2"/>
      <c r="U391" s="2"/>
      <c r="V391" s="2"/>
      <c r="W391" s="2"/>
      <c r="X391" s="2"/>
      <c r="Y391" s="2"/>
      <c r="Z391" s="2"/>
    </row>
    <row r="392">
      <c r="A392" s="2" t="str">
        <f>IFERROR(__xludf.DUMMYFUNCTION("""COMPUTED_VALUE"""),"WyvernTail Boots")</f>
        <v>WyvernTail Boots</v>
      </c>
      <c r="B392" s="2"/>
      <c r="C392" s="2"/>
      <c r="D392" s="2" t="str">
        <f>IFERROR(__xludf.DUMMYFUNCTION("""COMPUTED_VALUE"""),"Feet")</f>
        <v>Feet</v>
      </c>
      <c r="E392" s="2">
        <f>IFERROR(__xludf.DUMMYFUNCTION("""COMPUTED_VALUE"""),200.0)</f>
        <v>200</v>
      </c>
      <c r="F392" s="2" t="str">
        <f>IFERROR(__xludf.DUMMYFUNCTION("""COMPUTED_VALUE"""),"DEF: +10000 (Wyverntail Set) ++Freeze Immunity")</f>
        <v>DEF: +10000 (Wyverntail Set) ++Freeze Immunity</v>
      </c>
      <c r="G392" s="2">
        <f>IFERROR(__xludf.DUMMYFUNCTION("""COMPUTED_VALUE"""),1900000.0)</f>
        <v>1900000</v>
      </c>
      <c r="H392" s="2"/>
      <c r="I392" s="2"/>
      <c r="J392" s="2"/>
      <c r="K392" s="2"/>
      <c r="L392" s="2"/>
      <c r="M392" s="2"/>
      <c r="N392" s="2"/>
      <c r="O392" s="2"/>
      <c r="P392" s="2"/>
      <c r="Q392" s="2"/>
      <c r="R392" s="2"/>
      <c r="S392" s="2"/>
      <c r="T392" s="2"/>
      <c r="U392" s="2"/>
      <c r="V392" s="2"/>
      <c r="W392" s="2"/>
      <c r="X392" s="2"/>
      <c r="Y392" s="2"/>
      <c r="Z392" s="2"/>
    </row>
    <row r="393">
      <c r="A393" s="2" t="str">
        <f>IFERROR(__xludf.DUMMYFUNCTION("""COMPUTED_VALUE"""),"WyvernTail Pendent")</f>
        <v>WyvernTail Pendent</v>
      </c>
      <c r="B393" s="2"/>
      <c r="C393" s="2"/>
      <c r="D393" s="2" t="str">
        <f>IFERROR(__xludf.DUMMYFUNCTION("""COMPUTED_VALUE"""),"Neck")</f>
        <v>Neck</v>
      </c>
      <c r="E393" s="2">
        <f>IFERROR(__xludf.DUMMYFUNCTION("""COMPUTED_VALUE"""),1.0)</f>
        <v>1</v>
      </c>
      <c r="F393" s="2" t="str">
        <f>IFERROR(__xludf.DUMMYFUNCTION("""COMPUTED_VALUE""")," (Wyverntail Set) ++When you are attacked, the enemy that attacked you has a 25% Chance to Freeze.")</f>
        <v> (Wyverntail Set) ++When you are attacked, the enemy that attacked you has a 25% Chance to Freeze.</v>
      </c>
      <c r="G393" s="2">
        <f>IFERROR(__xludf.DUMMYFUNCTION("""COMPUTED_VALUE"""),0.0)</f>
        <v>0</v>
      </c>
      <c r="H393" s="2"/>
      <c r="I393" s="2"/>
      <c r="J393" s="2"/>
      <c r="K393" s="2"/>
      <c r="L393" s="2"/>
      <c r="M393" s="2"/>
      <c r="N393" s="2"/>
      <c r="O393" s="2"/>
      <c r="P393" s="2"/>
      <c r="Q393" s="2"/>
      <c r="R393" s="2"/>
      <c r="S393" s="2"/>
      <c r="T393" s="2"/>
      <c r="U393" s="2"/>
      <c r="V393" s="2"/>
      <c r="W393" s="2"/>
      <c r="X393" s="2"/>
      <c r="Y393" s="2"/>
      <c r="Z393" s="2"/>
    </row>
    <row r="394">
      <c r="A394" s="2" t="str">
        <f>IFERROR(__xludf.DUMMYFUNCTION("""COMPUTED_VALUE"""),"WyvernTail Ring")</f>
        <v>WyvernTail Ring</v>
      </c>
      <c r="B394" s="2"/>
      <c r="C394" s="2"/>
      <c r="D394" s="2" t="str">
        <f>IFERROR(__xludf.DUMMYFUNCTION("""COMPUTED_VALUE"""),"Ring")</f>
        <v>Ring</v>
      </c>
      <c r="E394" s="2">
        <f>IFERROR(__xludf.DUMMYFUNCTION("""COMPUTED_VALUE"""),1.0)</f>
        <v>1</v>
      </c>
      <c r="F394" s="2" t="str">
        <f>IFERROR(__xludf.DUMMYFUNCTION("""COMPUTED_VALUE""")," (Wyverntail Set) ++When you are attacked, the enemy that attacked you has a 25% Chance to Freeze. ")</f>
        <v> (Wyverntail Set) ++When you are attacked, the enemy that attacked you has a 25% Chance to Freeze. </v>
      </c>
      <c r="G394" s="2">
        <f>IFERROR(__xludf.DUMMYFUNCTION("""COMPUTED_VALUE"""),0.0)</f>
        <v>0</v>
      </c>
      <c r="H394" s="2"/>
      <c r="I394" s="2"/>
      <c r="J394" s="2"/>
      <c r="K394" s="2"/>
      <c r="L394" s="2"/>
      <c r="M394" s="2"/>
      <c r="N394" s="2"/>
      <c r="O394" s="2"/>
      <c r="P394" s="2"/>
      <c r="Q394" s="2"/>
      <c r="R394" s="2"/>
      <c r="S394" s="2"/>
      <c r="T394" s="2"/>
      <c r="U394" s="2"/>
      <c r="V394" s="2"/>
      <c r="W394" s="2"/>
      <c r="X394" s="2"/>
      <c r="Y394" s="2"/>
      <c r="Z394" s="2"/>
    </row>
    <row r="395">
      <c r="A395" s="2" t="str">
        <f>IFERROR(__xludf.DUMMYFUNCTION("""COMPUTED_VALUE"""),"Sweltering Blade")</f>
        <v>Sweltering Blade</v>
      </c>
      <c r="B395" s="2"/>
      <c r="C395" s="2" t="str">
        <f>IFERROR(__xludf.DUMMYFUNCTION("""COMPUTED_VALUE"""),"Sword")</f>
        <v>Sword</v>
      </c>
      <c r="D395" s="2" t="str">
        <f>IFERROR(__xludf.DUMMYFUNCTION("""COMPUTED_VALUE"""),"Hand")</f>
        <v>Hand</v>
      </c>
      <c r="E395" s="2">
        <f>IFERROR(__xludf.DUMMYFUNCTION("""COMPUTED_VALUE"""),400.0)</f>
        <v>400</v>
      </c>
      <c r="F395" s="2" t="str">
        <f>IFERROR(__xludf.DUMMYFUNCTION("""COMPUTED_VALUE"""),"DMG: +5000, Fire DMG: +5000, Water DMG: +5000, Nature DMG: +5000 (Sweltering Set) ++X2 Nature, Water, and Fire Damage.")</f>
        <v>DMG: +5000, Fire DMG: +5000, Water DMG: +5000, Nature DMG: +5000 (Sweltering Set) ++X2 Nature, Water, and Fire Damage.</v>
      </c>
      <c r="G395" s="2">
        <f>IFERROR(__xludf.DUMMYFUNCTION("""COMPUTED_VALUE"""),7800000.0)</f>
        <v>7800000</v>
      </c>
      <c r="H395" s="2"/>
      <c r="I395" s="2"/>
      <c r="J395" s="2"/>
      <c r="K395" s="2"/>
      <c r="L395" s="2"/>
      <c r="M395" s="2"/>
      <c r="N395" s="2"/>
      <c r="O395" s="2"/>
      <c r="P395" s="2"/>
      <c r="Q395" s="2"/>
      <c r="R395" s="2"/>
      <c r="S395" s="2"/>
      <c r="T395" s="2"/>
      <c r="U395" s="2"/>
      <c r="V395" s="2"/>
      <c r="W395" s="2"/>
      <c r="X395" s="2"/>
      <c r="Y395" s="2"/>
      <c r="Z395" s="2"/>
    </row>
    <row r="396">
      <c r="A396" s="2" t="str">
        <f>IFERROR(__xludf.DUMMYFUNCTION("""COMPUTED_VALUE"""),"Sweltering Helm")</f>
        <v>Sweltering Helm</v>
      </c>
      <c r="B396" s="2"/>
      <c r="C396" s="2"/>
      <c r="D396" s="2" t="str">
        <f>IFERROR(__xludf.DUMMYFUNCTION("""COMPUTED_VALUE"""),"Head")</f>
        <v>Head</v>
      </c>
      <c r="E396" s="2">
        <f>IFERROR(__xludf.DUMMYFUNCTION("""COMPUTED_VALUE"""),400.0)</f>
        <v>400</v>
      </c>
      <c r="F396" s="2" t="str">
        <f>IFERROR(__xludf.DUMMYFUNCTION("""COMPUTED_VALUE"""),"DEF: +5000, Fire DEF: +5000, Water DEF: +5000, Nature DEF: +5000 (Sweltering Set) ++X2 Nature, Water, and Fire Damage.")</f>
        <v>DEF: +5000, Fire DEF: +5000, Water DEF: +5000, Nature DEF: +5000 (Sweltering Set) ++X2 Nature, Water, and Fire Damage.</v>
      </c>
      <c r="G396" s="2">
        <f>IFERROR(__xludf.DUMMYFUNCTION("""COMPUTED_VALUE"""),7800000.0)</f>
        <v>7800000</v>
      </c>
      <c r="H396" s="2"/>
      <c r="I396" s="2"/>
      <c r="J396" s="2"/>
      <c r="K396" s="2"/>
      <c r="L396" s="2"/>
      <c r="M396" s="2"/>
      <c r="N396" s="2"/>
      <c r="O396" s="2"/>
      <c r="P396" s="2"/>
      <c r="Q396" s="2"/>
      <c r="R396" s="2"/>
      <c r="S396" s="2"/>
      <c r="T396" s="2"/>
      <c r="U396" s="2"/>
      <c r="V396" s="2"/>
      <c r="W396" s="2"/>
      <c r="X396" s="2"/>
      <c r="Y396" s="2"/>
      <c r="Z396" s="2"/>
    </row>
    <row r="397">
      <c r="A397" s="2" t="str">
        <f>IFERROR(__xludf.DUMMYFUNCTION("""COMPUTED_VALUE"""),"Sweltering Pauldrons")</f>
        <v>Sweltering Pauldrons</v>
      </c>
      <c r="B397" s="2"/>
      <c r="C397" s="2"/>
      <c r="D397" s="2" t="str">
        <f>IFERROR(__xludf.DUMMYFUNCTION("""COMPUTED_VALUE"""),"Shoulders")</f>
        <v>Shoulders</v>
      </c>
      <c r="E397" s="2">
        <f>IFERROR(__xludf.DUMMYFUNCTION("""COMPUTED_VALUE"""),400.0)</f>
        <v>400</v>
      </c>
      <c r="F397" s="2" t="str">
        <f>IFERROR(__xludf.DUMMYFUNCTION("""COMPUTED_VALUE"""),"DEF: +5000, Fire DEF: +5000, Water DEF: +5000, Nature DEF: +5000 (Sweltering Set) ++X2 Nature, Water, and Fire Damage.")</f>
        <v>DEF: +5000, Fire DEF: +5000, Water DEF: +5000, Nature DEF: +5000 (Sweltering Set) ++X2 Nature, Water, and Fire Damage.</v>
      </c>
      <c r="G397" s="2">
        <f>IFERROR(__xludf.DUMMYFUNCTION("""COMPUTED_VALUE"""),7800000.0)</f>
        <v>7800000</v>
      </c>
      <c r="H397" s="2"/>
      <c r="I397" s="2"/>
      <c r="J397" s="2"/>
      <c r="K397" s="2"/>
      <c r="L397" s="2"/>
      <c r="M397" s="2"/>
      <c r="N397" s="2"/>
      <c r="O397" s="2"/>
      <c r="P397" s="2"/>
      <c r="Q397" s="2"/>
      <c r="R397" s="2"/>
      <c r="S397" s="2"/>
      <c r="T397" s="2"/>
      <c r="U397" s="2"/>
      <c r="V397" s="2"/>
      <c r="W397" s="2"/>
      <c r="X397" s="2"/>
      <c r="Y397" s="2"/>
      <c r="Z397" s="2"/>
    </row>
    <row r="398">
      <c r="A398" s="2" t="str">
        <f>IFERROR(__xludf.DUMMYFUNCTION("""COMPUTED_VALUE"""),"Sweltering Chestplate")</f>
        <v>Sweltering Chestplate</v>
      </c>
      <c r="B398" s="2"/>
      <c r="C398" s="2"/>
      <c r="D398" s="2" t="str">
        <f>IFERROR(__xludf.DUMMYFUNCTION("""COMPUTED_VALUE"""),"Torso")</f>
        <v>Torso</v>
      </c>
      <c r="E398" s="2">
        <f>IFERROR(__xludf.DUMMYFUNCTION("""COMPUTED_VALUE"""),400.0)</f>
        <v>400</v>
      </c>
      <c r="F398" s="2" t="str">
        <f>IFERROR(__xludf.DUMMYFUNCTION("""COMPUTED_VALUE"""),"DEF: +5000, Fire DEF: +5000, Water DEF: +5000, Nature DEF: +5000 (Sweltering Set) ++X2 Nature, Water, and Fire Damage.")</f>
        <v>DEF: +5000, Fire DEF: +5000, Water DEF: +5000, Nature DEF: +5000 (Sweltering Set) ++X2 Nature, Water, and Fire Damage.</v>
      </c>
      <c r="G398" s="2">
        <f>IFERROR(__xludf.DUMMYFUNCTION("""COMPUTED_VALUE"""),7800000.0)</f>
        <v>7800000</v>
      </c>
      <c r="H398" s="2"/>
      <c r="I398" s="2"/>
      <c r="J398" s="2"/>
      <c r="K398" s="2"/>
      <c r="L398" s="2"/>
      <c r="M398" s="2"/>
      <c r="N398" s="2"/>
      <c r="O398" s="2"/>
      <c r="P398" s="2"/>
      <c r="Q398" s="2"/>
      <c r="R398" s="2"/>
      <c r="S398" s="2"/>
      <c r="T398" s="2"/>
      <c r="U398" s="2"/>
      <c r="V398" s="2"/>
      <c r="W398" s="2"/>
      <c r="X398" s="2"/>
      <c r="Y398" s="2"/>
      <c r="Z398" s="2"/>
    </row>
    <row r="399">
      <c r="A399" s="2" t="str">
        <f>IFERROR(__xludf.DUMMYFUNCTION("""COMPUTED_VALUE"""),"Sweltering Vambraces")</f>
        <v>Sweltering Vambraces</v>
      </c>
      <c r="B399" s="2"/>
      <c r="C399" s="2"/>
      <c r="D399" s="2" t="str">
        <f>IFERROR(__xludf.DUMMYFUNCTION("""COMPUTED_VALUE"""),"Arms")</f>
        <v>Arms</v>
      </c>
      <c r="E399" s="2">
        <f>IFERROR(__xludf.DUMMYFUNCTION("""COMPUTED_VALUE"""),400.0)</f>
        <v>400</v>
      </c>
      <c r="F399" s="2" t="str">
        <f>IFERROR(__xludf.DUMMYFUNCTION("""COMPUTED_VALUE"""),"DEF: +5000, Fire DEF: +5000, Water DEF: +5000, Nature DEF: +5000 (Sweltering Set) ++X2 Nature, Water, and Fire Damage.")</f>
        <v>DEF: +5000, Fire DEF: +5000, Water DEF: +5000, Nature DEF: +5000 (Sweltering Set) ++X2 Nature, Water, and Fire Damage.</v>
      </c>
      <c r="G399" s="2">
        <f>IFERROR(__xludf.DUMMYFUNCTION("""COMPUTED_VALUE"""),7800000.0)</f>
        <v>7800000</v>
      </c>
      <c r="H399" s="2"/>
      <c r="I399" s="2"/>
      <c r="J399" s="2"/>
      <c r="K399" s="2"/>
      <c r="L399" s="2"/>
      <c r="M399" s="2"/>
      <c r="N399" s="2"/>
      <c r="O399" s="2"/>
      <c r="P399" s="2"/>
      <c r="Q399" s="2"/>
      <c r="R399" s="2"/>
      <c r="S399" s="2"/>
      <c r="T399" s="2"/>
      <c r="U399" s="2"/>
      <c r="V399" s="2"/>
      <c r="W399" s="2"/>
      <c r="X399" s="2"/>
      <c r="Y399" s="2"/>
      <c r="Z399" s="2"/>
    </row>
    <row r="400">
      <c r="A400" s="2" t="str">
        <f>IFERROR(__xludf.DUMMYFUNCTION("""COMPUTED_VALUE"""),"Sweltering Greaves")</f>
        <v>Sweltering Greaves</v>
      </c>
      <c r="B400" s="2"/>
      <c r="C400" s="2"/>
      <c r="D400" s="2" t="str">
        <f>IFERROR(__xludf.DUMMYFUNCTION("""COMPUTED_VALUE"""),"Legs")</f>
        <v>Legs</v>
      </c>
      <c r="E400" s="2">
        <f>IFERROR(__xludf.DUMMYFUNCTION("""COMPUTED_VALUE"""),400.0)</f>
        <v>400</v>
      </c>
      <c r="F400" s="2" t="str">
        <f>IFERROR(__xludf.DUMMYFUNCTION("""COMPUTED_VALUE"""),"DEF: +5000, Fire DEF: +5000, Water DEF: +5000, Nature DEF: +5000 (Sweltering Set) ++X2 Nature, Water, and Fire Damage.")</f>
        <v>DEF: +5000, Fire DEF: +5000, Water DEF: +5000, Nature DEF: +5000 (Sweltering Set) ++X2 Nature, Water, and Fire Damage.</v>
      </c>
      <c r="G400" s="2">
        <f>IFERROR(__xludf.DUMMYFUNCTION("""COMPUTED_VALUE"""),7800000.0)</f>
        <v>7800000</v>
      </c>
      <c r="H400" s="2"/>
      <c r="I400" s="2"/>
      <c r="J400" s="2"/>
      <c r="K400" s="2"/>
      <c r="L400" s="2"/>
      <c r="M400" s="2"/>
      <c r="N400" s="2"/>
      <c r="O400" s="2"/>
      <c r="P400" s="2"/>
      <c r="Q400" s="2"/>
      <c r="R400" s="2"/>
      <c r="S400" s="2"/>
      <c r="T400" s="2"/>
      <c r="U400" s="2"/>
      <c r="V400" s="2"/>
      <c r="W400" s="2"/>
      <c r="X400" s="2"/>
      <c r="Y400" s="2"/>
      <c r="Z400" s="2"/>
    </row>
    <row r="401">
      <c r="A401" s="2" t="str">
        <f>IFERROR(__xludf.DUMMYFUNCTION("""COMPUTED_VALUE"""),"Sweltering Boots")</f>
        <v>Sweltering Boots</v>
      </c>
      <c r="B401" s="2"/>
      <c r="C401" s="2"/>
      <c r="D401" s="2" t="str">
        <f>IFERROR(__xludf.DUMMYFUNCTION("""COMPUTED_VALUE"""),"Feet")</f>
        <v>Feet</v>
      </c>
      <c r="E401" s="2">
        <f>IFERROR(__xludf.DUMMYFUNCTION("""COMPUTED_VALUE"""),400.0)</f>
        <v>400</v>
      </c>
      <c r="F401" s="2" t="str">
        <f>IFERROR(__xludf.DUMMYFUNCTION("""COMPUTED_VALUE"""),"DEF: +5000, Fire DEF: +5000, Water DEF: +5000, Nature DEF: +5000 (Sweltering Set) ++X2 Nature, Water, and Fire Damage.")</f>
        <v>DEF: +5000, Fire DEF: +5000, Water DEF: +5000, Nature DEF: +5000 (Sweltering Set) ++X2 Nature, Water, and Fire Damage.</v>
      </c>
      <c r="G401" s="2">
        <f>IFERROR(__xludf.DUMMYFUNCTION("""COMPUTED_VALUE"""),7800000.0)</f>
        <v>7800000</v>
      </c>
      <c r="H401" s="2"/>
      <c r="I401" s="2"/>
      <c r="J401" s="2"/>
      <c r="K401" s="2"/>
      <c r="L401" s="2"/>
      <c r="M401" s="2"/>
      <c r="N401" s="2"/>
      <c r="O401" s="2"/>
      <c r="P401" s="2"/>
      <c r="Q401" s="2"/>
      <c r="R401" s="2"/>
      <c r="S401" s="2"/>
      <c r="T401" s="2"/>
      <c r="U401" s="2"/>
      <c r="V401" s="2"/>
      <c r="W401" s="2"/>
      <c r="X401" s="2"/>
      <c r="Y401" s="2"/>
      <c r="Z401" s="2"/>
    </row>
    <row r="402">
      <c r="A402" s="2" t="str">
        <f>IFERROR(__xludf.DUMMYFUNCTION("""COMPUTED_VALUE"""),"Sweltering Pendent")</f>
        <v>Sweltering Pendent</v>
      </c>
      <c r="B402" s="2"/>
      <c r="C402" s="2"/>
      <c r="D402" s="2" t="str">
        <f>IFERROR(__xludf.DUMMYFUNCTION("""COMPUTED_VALUE"""),"Neck")</f>
        <v>Neck</v>
      </c>
      <c r="E402" s="2">
        <f>IFERROR(__xludf.DUMMYFUNCTION("""COMPUTED_VALUE"""),1.0)</f>
        <v>1</v>
      </c>
      <c r="F402" s="2" t="str">
        <f>IFERROR(__xludf.DUMMYFUNCTION("""COMPUTED_VALUE""")," (Sweltering Set) ++Fire, Nature, and Water immunity.")</f>
        <v> (Sweltering Set) ++Fire, Nature, and Water immunity.</v>
      </c>
      <c r="G402" s="2">
        <f>IFERROR(__xludf.DUMMYFUNCTION("""COMPUTED_VALUE"""),0.0)</f>
        <v>0</v>
      </c>
      <c r="H402" s="2"/>
      <c r="I402" s="2"/>
      <c r="J402" s="2"/>
      <c r="K402" s="2"/>
      <c r="L402" s="2"/>
      <c r="M402" s="2"/>
      <c r="N402" s="2"/>
      <c r="O402" s="2"/>
      <c r="P402" s="2"/>
      <c r="Q402" s="2"/>
      <c r="R402" s="2"/>
      <c r="S402" s="2"/>
      <c r="T402" s="2"/>
      <c r="U402" s="2"/>
      <c r="V402" s="2"/>
      <c r="W402" s="2"/>
      <c r="X402" s="2"/>
      <c r="Y402" s="2"/>
      <c r="Z402" s="2"/>
    </row>
    <row r="403">
      <c r="A403" s="2" t="str">
        <f>IFERROR(__xludf.DUMMYFUNCTION("""COMPUTED_VALUE"""),"Sweltering Ring")</f>
        <v>Sweltering Ring</v>
      </c>
      <c r="B403" s="2"/>
      <c r="C403" s="2"/>
      <c r="D403" s="2" t="str">
        <f>IFERROR(__xludf.DUMMYFUNCTION("""COMPUTED_VALUE"""),"Ring")</f>
        <v>Ring</v>
      </c>
      <c r="E403" s="2">
        <f>IFERROR(__xludf.DUMMYFUNCTION("""COMPUTED_VALUE"""),1.0)</f>
        <v>1</v>
      </c>
      <c r="F403" s="2" t="str">
        <f>IFERROR(__xludf.DUMMYFUNCTION("""COMPUTED_VALUE""")," (Sweltering Set) ++Fire, Nature, and Water immunity.")</f>
        <v> (Sweltering Set) ++Fire, Nature, and Water immunity.</v>
      </c>
      <c r="G403" s="2">
        <f>IFERROR(__xludf.DUMMYFUNCTION("""COMPUTED_VALUE"""),0.0)</f>
        <v>0</v>
      </c>
      <c r="H403" s="2"/>
      <c r="I403" s="2"/>
      <c r="J403" s="2"/>
      <c r="K403" s="2"/>
      <c r="L403" s="2"/>
      <c r="M403" s="2"/>
      <c r="N403" s="2"/>
      <c r="O403" s="2"/>
      <c r="P403" s="2"/>
      <c r="Q403" s="2"/>
      <c r="R403" s="2"/>
      <c r="S403" s="2"/>
      <c r="T403" s="2"/>
      <c r="U403" s="2"/>
      <c r="V403" s="2"/>
      <c r="W403" s="2"/>
      <c r="X403" s="2"/>
      <c r="Y403" s="2"/>
      <c r="Z403" s="2"/>
    </row>
    <row r="404">
      <c r="A404" s="2" t="str">
        <f>IFERROR(__xludf.DUMMYFUNCTION("""COMPUTED_VALUE"""),"Reinforced Tortoise Shell")</f>
        <v>Reinforced Tortoise Shell</v>
      </c>
      <c r="B404" s="2"/>
      <c r="C404" s="2"/>
      <c r="D404" s="2" t="str">
        <f>IFERROR(__xludf.DUMMYFUNCTION("""COMPUTED_VALUE"""),"Torso")</f>
        <v>Torso</v>
      </c>
      <c r="E404" s="2">
        <f>IFERROR(__xludf.DUMMYFUNCTION("""COMPUTED_VALUE"""),400.0)</f>
        <v>400</v>
      </c>
      <c r="F404" s="2" t="str">
        <f>IFERROR(__xludf.DUMMYFUNCTION("""COMPUTED_VALUE"""),"DEF: +10000, Water DEF: +5000, Light DEF: +5000 ++X2 Defense for the wearer. +-Cannot be Duplicated.")</f>
        <v>DEF: +10000, Water DEF: +5000, Light DEF: +5000 ++X2 Defense for the wearer. +-Cannot be Duplicated.</v>
      </c>
      <c r="G404" s="2">
        <f>IFERROR(__xludf.DUMMYFUNCTION("""COMPUTED_VALUE"""),7800000.0)</f>
        <v>7800000</v>
      </c>
      <c r="H404" s="2"/>
      <c r="I404" s="2"/>
      <c r="J404" s="2"/>
      <c r="K404" s="2"/>
      <c r="L404" s="2"/>
      <c r="M404" s="2"/>
      <c r="N404" s="2"/>
      <c r="O404" s="2"/>
      <c r="P404" s="2"/>
      <c r="Q404" s="2"/>
      <c r="R404" s="2"/>
      <c r="S404" s="2"/>
      <c r="T404" s="2"/>
      <c r="U404" s="2"/>
      <c r="V404" s="2"/>
      <c r="W404" s="2"/>
      <c r="X404" s="2"/>
      <c r="Y404" s="2"/>
      <c r="Z404" s="2"/>
    </row>
    <row r="405">
      <c r="A405" s="2" t="str">
        <f>IFERROR(__xludf.DUMMYFUNCTION("""COMPUTED_VALUE"""),"Tortoise Shell Shield")</f>
        <v>Tortoise Shell Shield</v>
      </c>
      <c r="B405" s="2"/>
      <c r="C405" s="2" t="str">
        <f>IFERROR(__xludf.DUMMYFUNCTION("""COMPUTED_VALUE"""),"Towershield")</f>
        <v>Towershield</v>
      </c>
      <c r="D405" s="2" t="str">
        <f>IFERROR(__xludf.DUMMYFUNCTION("""COMPUTED_VALUE"""),"Hand")</f>
        <v>Hand</v>
      </c>
      <c r="E405" s="2">
        <f>IFERROR(__xludf.DUMMYFUNCTION("""COMPUTED_VALUE"""),400.0)</f>
        <v>400</v>
      </c>
      <c r="F405" s="2" t="str">
        <f>IFERROR(__xludf.DUMMYFUNCTION("""COMPUTED_VALUE"""),"DEF: +20000 ++X2 Defense for the wearer. +-Cannot be Duplicated.")</f>
        <v>DEF: +20000 ++X2 Defense for the wearer. +-Cannot be Duplicated.</v>
      </c>
      <c r="G405" s="2">
        <f>IFERROR(__xludf.DUMMYFUNCTION("""COMPUTED_VALUE"""),7800000.0)</f>
        <v>7800000</v>
      </c>
      <c r="H405" s="2"/>
      <c r="I405" s="2"/>
      <c r="J405" s="2"/>
      <c r="K405" s="2"/>
      <c r="L405" s="2"/>
      <c r="M405" s="2"/>
      <c r="N405" s="2"/>
      <c r="O405" s="2"/>
      <c r="P405" s="2"/>
      <c r="Q405" s="2"/>
      <c r="R405" s="2"/>
      <c r="S405" s="2"/>
      <c r="T405" s="2"/>
      <c r="U405" s="2"/>
      <c r="V405" s="2"/>
      <c r="W405" s="2"/>
      <c r="X405" s="2"/>
      <c r="Y405" s="2"/>
      <c r="Z405" s="2"/>
    </row>
    <row r="406">
      <c r="A406" s="2" t="str">
        <f>IFERROR(__xludf.DUMMYFUNCTION("""COMPUTED_VALUE"""),"Stone of the Summit")</f>
        <v>Stone of the Summit</v>
      </c>
      <c r="B406" s="2"/>
      <c r="C406" s="2"/>
      <c r="D406" s="2" t="str">
        <f>IFERROR(__xludf.DUMMYFUNCTION("""COMPUTED_VALUE"""),"Hand")</f>
        <v>Hand</v>
      </c>
      <c r="E406" s="2">
        <f>IFERROR(__xludf.DUMMYFUNCTION("""COMPUTED_VALUE"""),1.0)</f>
        <v>1</v>
      </c>
      <c r="F406" s="2" t="str">
        <f>IFERROR(__xludf.DUMMYFUNCTION("""COMPUTED_VALUE""")," ++X2 additional damage towards weapons for the user.")</f>
        <v> ++X2 additional damage towards weapons for the user.</v>
      </c>
      <c r="G406" s="2">
        <f>IFERROR(__xludf.DUMMYFUNCTION("""COMPUTED_VALUE"""),0.0)</f>
        <v>0</v>
      </c>
      <c r="H406" s="2"/>
      <c r="I406" s="2"/>
      <c r="J406" s="2"/>
      <c r="K406" s="2"/>
      <c r="L406" s="2"/>
      <c r="M406" s="2"/>
      <c r="N406" s="2"/>
      <c r="O406" s="2"/>
      <c r="P406" s="2"/>
      <c r="Q406" s="2"/>
      <c r="R406" s="2"/>
      <c r="S406" s="2"/>
      <c r="T406" s="2"/>
      <c r="U406" s="2"/>
      <c r="V406" s="2"/>
      <c r="W406" s="2"/>
      <c r="X406" s="2"/>
      <c r="Y406" s="2"/>
      <c r="Z406" s="2"/>
    </row>
    <row r="407">
      <c r="A407" s="2" t="str">
        <f>IFERROR(__xludf.DUMMYFUNCTION("""COMPUTED_VALUE"""),"Deep Blue Pearl")</f>
        <v>Deep Blue Pearl</v>
      </c>
      <c r="B407" s="2" t="str">
        <f>IFERROR(__xludf.DUMMYFUNCTION("""COMPUTED_VALUE"""),"A rare pearl found deep within the ocean of Dragonscale Island.")</f>
        <v>A rare pearl found deep within the ocean of Dragonscale Island.</v>
      </c>
      <c r="C407" s="2"/>
      <c r="D407" s="2" t="str">
        <f>IFERROR(__xludf.DUMMYFUNCTION("""COMPUTED_VALUE"""),"Hand")</f>
        <v>Hand</v>
      </c>
      <c r="E407" s="2">
        <f>IFERROR(__xludf.DUMMYFUNCTION("""COMPUTED_VALUE"""),200.0)</f>
        <v>200</v>
      </c>
      <c r="F407" s="2" t="str">
        <f>IFERROR(__xludf.DUMMYFUNCTION("""COMPUTED_VALUE"""),"DEF: +10000 ++Water Immunity. ++Water damage dealt by you gives you sp back equal half the damage caused.")</f>
        <v>DEF: +10000 ++Water Immunity. ++Water damage dealt by you gives you sp back equal half the damage caused.</v>
      </c>
      <c r="G407" s="2">
        <f>IFERROR(__xludf.DUMMYFUNCTION("""COMPUTED_VALUE"""),1900000.0)</f>
        <v>1900000</v>
      </c>
      <c r="H407" s="2"/>
      <c r="I407" s="2"/>
      <c r="J407" s="2"/>
      <c r="K407" s="2"/>
      <c r="L407" s="2"/>
      <c r="M407" s="2"/>
      <c r="N407" s="2"/>
      <c r="O407" s="2"/>
      <c r="P407" s="2"/>
      <c r="Q407" s="2"/>
      <c r="R407" s="2"/>
      <c r="S407" s="2"/>
      <c r="T407" s="2"/>
      <c r="U407" s="2"/>
      <c r="V407" s="2"/>
      <c r="W407" s="2"/>
      <c r="X407" s="2"/>
      <c r="Y407" s="2"/>
      <c r="Z407" s="2"/>
    </row>
    <row r="408">
      <c r="A408" s="2" t="str">
        <f>IFERROR(__xludf.DUMMYFUNCTION("""COMPUTED_VALUE"""),"Tempests Lightning Rod")</f>
        <v>Tempests Lightning Rod</v>
      </c>
      <c r="B408" s="2"/>
      <c r="C408" s="2" t="str">
        <f>IFERROR(__xludf.DUMMYFUNCTION("""COMPUTED_VALUE"""),"Spear")</f>
        <v>Spear</v>
      </c>
      <c r="D408" s="2" t="str">
        <f>IFERROR(__xludf.DUMMYFUNCTION("""COMPUTED_VALUE"""),"Hand")</f>
        <v>Hand</v>
      </c>
      <c r="E408" s="2">
        <f>IFERROR(__xludf.DUMMYFUNCTION("""COMPUTED_VALUE"""),600.0)</f>
        <v>600</v>
      </c>
      <c r="F408" s="2" t="str">
        <f>IFERROR(__xludf.DUMMYFUNCTION("""COMPUTED_VALUE"""),"DMG: +10000, Water DMG: +10000, Storm DMG: +10000 ++X4 additional Storm Damage for the user, ++You may attack up to 3 times with this weapon in 1 turn, Roll a d3 to determine how many attacks this weapon does.")</f>
        <v>DMG: +10000, Water DMG: +10000, Storm DMG: +10000 ++X4 additional Storm Damage for the user, ++You may attack up to 3 times with this weapon in 1 turn, Roll a d3 to determine how many attacks this weapon does.</v>
      </c>
      <c r="G408" s="2">
        <f>IFERROR(__xludf.DUMMYFUNCTION("""COMPUTED_VALUE"""),1.77E7)</f>
        <v>17700000</v>
      </c>
      <c r="H408" s="2"/>
      <c r="I408" s="2"/>
      <c r="J408" s="2"/>
      <c r="K408" s="2"/>
      <c r="L408" s="2"/>
      <c r="M408" s="2"/>
      <c r="N408" s="2"/>
      <c r="O408" s="2"/>
      <c r="P408" s="2"/>
      <c r="Q408" s="2"/>
      <c r="R408" s="2"/>
      <c r="S408" s="2"/>
      <c r="T408" s="2"/>
      <c r="U408" s="2"/>
      <c r="V408" s="2"/>
      <c r="W408" s="2"/>
      <c r="X408" s="2"/>
      <c r="Y408" s="2"/>
      <c r="Z408" s="2"/>
    </row>
    <row r="409">
      <c r="A409" s="2" t="str">
        <f>IFERROR(__xludf.DUMMYFUNCTION("""COMPUTED_VALUE"""),"Sword of Mystic Vagility")</f>
        <v>Sword of Mystic Vagility</v>
      </c>
      <c r="B409" s="2"/>
      <c r="C409" s="2" t="str">
        <f>IFERROR(__xludf.DUMMYFUNCTION("""COMPUTED_VALUE"""),"Sword")</f>
        <v>Sword</v>
      </c>
      <c r="D409" s="2" t="str">
        <f>IFERROR(__xludf.DUMMYFUNCTION("""COMPUTED_VALUE"""),"Hand")</f>
        <v>Hand</v>
      </c>
      <c r="E409" s="2">
        <f>IFERROR(__xludf.DUMMYFUNCTION("""COMPUTED_VALUE"""),200.0)</f>
        <v>200</v>
      </c>
      <c r="F409" s="2" t="str">
        <f>IFERROR(__xludf.DUMMYFUNCTION("""COMPUTED_VALUE"""),"DMG: +50000, Celestial DMG: +50000 ++5 to d20 rolls, ++2 Evasion, ++2 Mobility. +-Cannot be duplicated.")</f>
        <v>DMG: +50000, Celestial DMG: +50000 ++5 to d20 rolls, ++2 Evasion, ++2 Mobility. +-Cannot be duplicated.</v>
      </c>
      <c r="G409" s="2">
        <f>IFERROR(__xludf.DUMMYFUNCTION("""COMPUTED_VALUE"""),1.99E8)</f>
        <v>199000000</v>
      </c>
      <c r="H409" s="2"/>
      <c r="I409" s="2"/>
      <c r="J409" s="2"/>
      <c r="K409" s="2"/>
      <c r="L409" s="2"/>
      <c r="M409" s="2"/>
      <c r="N409" s="2"/>
      <c r="O409" s="2"/>
      <c r="P409" s="2"/>
      <c r="Q409" s="2"/>
      <c r="R409" s="2"/>
      <c r="S409" s="2"/>
      <c r="T409" s="2"/>
      <c r="U409" s="2"/>
      <c r="V409" s="2"/>
      <c r="W409" s="2"/>
      <c r="X409" s="2"/>
      <c r="Y409" s="2"/>
      <c r="Z409" s="2"/>
    </row>
    <row r="410">
      <c r="A410" s="2" t="str">
        <f>IFERROR(__xludf.DUMMYFUNCTION("""COMPUTED_VALUE"""),".50 Caliber Machine Gun (car)")</f>
        <v>.50 Caliber Machine Gun (car)</v>
      </c>
      <c r="B410" s="2"/>
      <c r="C410" s="2" t="str">
        <f>IFERROR(__xludf.DUMMYFUNCTION("""COMPUTED_VALUE"""),"Firearm")</f>
        <v>Firearm</v>
      </c>
      <c r="D410" s="2" t="str">
        <f>IFERROR(__xludf.DUMMYFUNCTION("""COMPUTED_VALUE"""),"CarGun")</f>
        <v>CarGun</v>
      </c>
      <c r="E410" s="2">
        <f>IFERROR(__xludf.DUMMYFUNCTION("""COMPUTED_VALUE"""),400.0)</f>
        <v>400</v>
      </c>
      <c r="F410" s="2" t="str">
        <f>IFERROR(__xludf.DUMMYFUNCTION("""COMPUTED_VALUE"""),"DMG: +20000 ++Roll a d500 to see how many bullets are used when you attack with this weapon. +-Uses bullets. ++Damages 2 targets. ++Cannot Avoid.")</f>
        <v>DMG: +20000 ++Roll a d500 to see how many bullets are used when you attack with this weapon. +-Uses bullets. ++Damages 2 targets. ++Cannot Avoid.</v>
      </c>
      <c r="G410" s="2">
        <f>IFERROR(__xludf.DUMMYFUNCTION("""COMPUTED_VALUE"""),7800000.0)</f>
        <v>7800000</v>
      </c>
      <c r="H410" s="2"/>
      <c r="I410" s="2"/>
      <c r="J410" s="2"/>
      <c r="K410" s="2"/>
      <c r="L410" s="2"/>
      <c r="M410" s="2"/>
      <c r="N410" s="2"/>
      <c r="O410" s="2"/>
      <c r="P410" s="2"/>
      <c r="Q410" s="2"/>
      <c r="R410" s="2"/>
      <c r="S410" s="2"/>
      <c r="T410" s="2"/>
      <c r="U410" s="2"/>
      <c r="V410" s="2"/>
      <c r="W410" s="2"/>
      <c r="X410" s="2"/>
      <c r="Y410" s="2"/>
      <c r="Z410" s="2"/>
    </row>
    <row r="411">
      <c r="A411" s="2" t="str">
        <f>IFERROR(__xludf.DUMMYFUNCTION("""COMPUTED_VALUE"""),"Auto Turret")</f>
        <v>Auto Turret</v>
      </c>
      <c r="B411" s="2"/>
      <c r="C411" s="2" t="str">
        <f>IFERROR(__xludf.DUMMYFUNCTION("""COMPUTED_VALUE"""),"Firearm")</f>
        <v>Firearm</v>
      </c>
      <c r="D411" s="2" t="str">
        <f>IFERROR(__xludf.DUMMYFUNCTION("""COMPUTED_VALUE"""),"CarGun")</f>
        <v>CarGun</v>
      </c>
      <c r="E411" s="2">
        <f>IFERROR(__xludf.DUMMYFUNCTION("""COMPUTED_VALUE"""),800.0)</f>
        <v>800</v>
      </c>
      <c r="F411" s="2" t="str">
        <f>IFERROR(__xludf.DUMMYFUNCTION("""COMPUTED_VALUE"""),"DMG: +40000 ++Does not take an action to use, Acts as if it has a turn order of its own. ++Has unlimited bullets. +-Uses bullets ++Roll a d1000 to see how many bullets are used. ++Damages all targets. ++Cannot avoid.")</f>
        <v>DMG: +40000 ++Does not take an action to use, Acts as if it has a turn order of its own. ++Has unlimited bullets. +-Uses bullets ++Roll a d1000 to see how many bullets are used. ++Damages all targets. ++Cannot avoid.</v>
      </c>
      <c r="G411" s="2">
        <f>IFERROR(__xludf.DUMMYFUNCTION("""COMPUTED_VALUE"""),3.16E7)</f>
        <v>31600000</v>
      </c>
      <c r="H411" s="2"/>
      <c r="I411" s="2"/>
      <c r="J411" s="2"/>
      <c r="K411" s="2"/>
      <c r="L411" s="2"/>
      <c r="M411" s="2"/>
      <c r="N411" s="2"/>
      <c r="O411" s="2"/>
      <c r="P411" s="2"/>
      <c r="Q411" s="2"/>
      <c r="R411" s="2"/>
      <c r="S411" s="2"/>
      <c r="T411" s="2"/>
      <c r="U411" s="2"/>
      <c r="V411" s="2"/>
      <c r="W411" s="2"/>
      <c r="X411" s="2"/>
      <c r="Y411" s="2"/>
      <c r="Z411" s="2"/>
    </row>
    <row r="412">
      <c r="A412" s="2" t="str">
        <f>IFERROR(__xludf.DUMMYFUNCTION("""COMPUTED_VALUE"""),"Lazer Infused Cannon")</f>
        <v>Lazer Infused Cannon</v>
      </c>
      <c r="B412" s="2"/>
      <c r="C412" s="2" t="str">
        <f>IFERROR(__xludf.DUMMYFUNCTION("""COMPUTED_VALUE"""),"Firearm")</f>
        <v>Firearm</v>
      </c>
      <c r="D412" s="2" t="str">
        <f>IFERROR(__xludf.DUMMYFUNCTION("""COMPUTED_VALUE"""),"BoatGun")</f>
        <v>BoatGun</v>
      </c>
      <c r="E412" s="2">
        <f>IFERROR(__xludf.DUMMYFUNCTION("""COMPUTED_VALUE"""),5000.0)</f>
        <v>5000</v>
      </c>
      <c r="F412" s="2" t="str">
        <f>IFERROR(__xludf.DUMMYFUNCTION("""COMPUTED_VALUE"""),", Fire DMG: +250000 ++Does not use Ammunition. ++Cannot avoid, ++Damages all enemies.")</f>
        <v>, Fire DMG: +250000 ++Does not use Ammunition. ++Cannot avoid, ++Damages all enemies.</v>
      </c>
      <c r="G412" s="2">
        <f>IFERROR(__xludf.DUMMYFUNCTION("""COMPUTED_VALUE"""),1.2475E9)</f>
        <v>1247500000</v>
      </c>
      <c r="H412" s="2"/>
      <c r="I412" s="2"/>
      <c r="J412" s="2"/>
      <c r="K412" s="2"/>
      <c r="L412" s="2"/>
      <c r="M412" s="2"/>
      <c r="N412" s="2"/>
      <c r="O412" s="2"/>
      <c r="P412" s="2"/>
      <c r="Q412" s="2"/>
      <c r="R412" s="2"/>
      <c r="S412" s="2"/>
      <c r="T412" s="2"/>
      <c r="U412" s="2"/>
      <c r="V412" s="2"/>
      <c r="W412" s="2"/>
      <c r="X412" s="2"/>
      <c r="Y412" s="2"/>
      <c r="Z412" s="2"/>
    </row>
    <row r="413">
      <c r="A413" s="2" t="str">
        <f>IFERROR(__xludf.DUMMYFUNCTION("""COMPUTED_VALUE"""),"Roof Mounted Turret")</f>
        <v>Roof Mounted Turret</v>
      </c>
      <c r="B413" s="2"/>
      <c r="C413" s="2" t="str">
        <f>IFERROR(__xludf.DUMMYFUNCTION("""COMPUTED_VALUE"""),"Firearm")</f>
        <v>Firearm</v>
      </c>
      <c r="D413" s="2" t="str">
        <f>IFERROR(__xludf.DUMMYFUNCTION("""COMPUTED_VALUE"""),"CarGun")</f>
        <v>CarGun</v>
      </c>
      <c r="E413" s="2">
        <f>IFERROR(__xludf.DUMMYFUNCTION("""COMPUTED_VALUE"""),500.0)</f>
        <v>500</v>
      </c>
      <c r="F413" s="2" t="str">
        <f>IFERROR(__xludf.DUMMYFUNCTION("""COMPUTED_VALUE"""),"DMG: +25000 ++Roll a d500 to see how many bullets are used when you attack with this weapon. +-Uses bullets ++Damages up to 2 targets.")</f>
        <v>DMG: +25000 ++Roll a d500 to see how many bullets are used when you attack with this weapon. +-Uses bullets ++Damages up to 2 targets.</v>
      </c>
      <c r="G413" s="2">
        <f>IFERROR(__xludf.DUMMYFUNCTION("""COMPUTED_VALUE"""),1.225E7)</f>
        <v>12250000</v>
      </c>
      <c r="H413" s="2"/>
      <c r="I413" s="2"/>
      <c r="J413" s="2"/>
      <c r="K413" s="2"/>
      <c r="L413" s="2"/>
      <c r="M413" s="2"/>
      <c r="N413" s="2"/>
      <c r="O413" s="2"/>
      <c r="P413" s="2"/>
      <c r="Q413" s="2"/>
      <c r="R413" s="2"/>
      <c r="S413" s="2"/>
      <c r="T413" s="2"/>
      <c r="U413" s="2"/>
      <c r="V413" s="2"/>
      <c r="W413" s="2"/>
      <c r="X413" s="2"/>
      <c r="Y413" s="2"/>
      <c r="Z413" s="2"/>
    </row>
    <row r="414">
      <c r="A414" s="2" t="str">
        <f>IFERROR(__xludf.DUMMYFUNCTION("""COMPUTED_VALUE"""),".50 Caliber Machine Gun (boat)")</f>
        <v>.50 Caliber Machine Gun (boat)</v>
      </c>
      <c r="B414" s="2"/>
      <c r="C414" s="2" t="str">
        <f>IFERROR(__xludf.DUMMYFUNCTION("""COMPUTED_VALUE"""),"Firearm")</f>
        <v>Firearm</v>
      </c>
      <c r="D414" s="2" t="str">
        <f>IFERROR(__xludf.DUMMYFUNCTION("""COMPUTED_VALUE"""),"BoatGun")</f>
        <v>BoatGun</v>
      </c>
      <c r="E414" s="2">
        <f>IFERROR(__xludf.DUMMYFUNCTION("""COMPUTED_VALUE"""),500.0)</f>
        <v>500</v>
      </c>
      <c r="F414" s="2" t="str">
        <f>IFERROR(__xludf.DUMMYFUNCTION("""COMPUTED_VALUE"""),"DMG: +25000 ++Roll a d500 to see how many bullets are used when you attack with this weapon. +-Uses bullets")</f>
        <v>DMG: +25000 ++Roll a d500 to see how many bullets are used when you attack with this weapon. +-Uses bullets</v>
      </c>
      <c r="G414" s="2">
        <f>IFERROR(__xludf.DUMMYFUNCTION("""COMPUTED_VALUE"""),1.225E7)</f>
        <v>12250000</v>
      </c>
      <c r="H414" s="2"/>
      <c r="I414" s="2"/>
      <c r="J414" s="2"/>
      <c r="K414" s="2"/>
      <c r="L414" s="2"/>
      <c r="M414" s="2"/>
      <c r="N414" s="2"/>
      <c r="O414" s="2"/>
      <c r="P414" s="2"/>
      <c r="Q414" s="2"/>
      <c r="R414" s="2"/>
      <c r="S414" s="2"/>
      <c r="T414" s="2"/>
      <c r="U414" s="2"/>
      <c r="V414" s="2"/>
      <c r="W414" s="2"/>
      <c r="X414" s="2"/>
      <c r="Y414" s="2"/>
      <c r="Z414" s="2"/>
    </row>
    <row r="415">
      <c r="A415" s="2" t="str">
        <f>IFERROR(__xludf.DUMMYFUNCTION("""COMPUTED_VALUE"""),"Missile Turret (car)")</f>
        <v>Missile Turret (car)</v>
      </c>
      <c r="B415" s="2"/>
      <c r="C415" s="2" t="str">
        <f>IFERROR(__xludf.DUMMYFUNCTION("""COMPUTED_VALUE"""),"Firearm")</f>
        <v>Firearm</v>
      </c>
      <c r="D415" s="2" t="str">
        <f>IFERROR(__xludf.DUMMYFUNCTION("""COMPUTED_VALUE"""),"CarGun")</f>
        <v>CarGun</v>
      </c>
      <c r="E415" s="2">
        <f>IFERROR(__xludf.DUMMYFUNCTION("""COMPUTED_VALUE"""),2000.0)</f>
        <v>2000</v>
      </c>
      <c r="F415" s="2" t="str">
        <f>IFERROR(__xludf.DUMMYFUNCTION("""COMPUTED_VALUE"""),"DMG: +50000, Fire DMG: +50000 ++Damages all enemies. +-Uses Missiles.")</f>
        <v>DMG: +50000, Fire DMG: +50000 ++Damages all enemies. +-Uses Missiles.</v>
      </c>
      <c r="G415" s="2">
        <f>IFERROR(__xludf.DUMMYFUNCTION("""COMPUTED_VALUE"""),1.99E8)</f>
        <v>199000000</v>
      </c>
      <c r="H415" s="2"/>
      <c r="I415" s="2"/>
      <c r="J415" s="2"/>
      <c r="K415" s="2"/>
      <c r="L415" s="2"/>
      <c r="M415" s="2"/>
      <c r="N415" s="2"/>
      <c r="O415" s="2"/>
      <c r="P415" s="2"/>
      <c r="Q415" s="2"/>
      <c r="R415" s="2"/>
      <c r="S415" s="2"/>
      <c r="T415" s="2"/>
      <c r="U415" s="2"/>
      <c r="V415" s="2"/>
      <c r="W415" s="2"/>
      <c r="X415" s="2"/>
      <c r="Y415" s="2"/>
      <c r="Z415" s="2"/>
    </row>
    <row r="416">
      <c r="A416" s="2" t="str">
        <f>IFERROR(__xludf.DUMMYFUNCTION("""COMPUTED_VALUE"""),"Missile Turret (boat)")</f>
        <v>Missile Turret (boat)</v>
      </c>
      <c r="B416" s="2"/>
      <c r="C416" s="2" t="str">
        <f>IFERROR(__xludf.DUMMYFUNCTION("""COMPUTED_VALUE"""),"Firearm")</f>
        <v>Firearm</v>
      </c>
      <c r="D416" s="2" t="str">
        <f>IFERROR(__xludf.DUMMYFUNCTION("""COMPUTED_VALUE"""),"BoatGun")</f>
        <v>BoatGun</v>
      </c>
      <c r="E416" s="2">
        <f>IFERROR(__xludf.DUMMYFUNCTION("""COMPUTED_VALUE"""),2000.0)</f>
        <v>2000</v>
      </c>
      <c r="F416" s="2" t="str">
        <f>IFERROR(__xludf.DUMMYFUNCTION("""COMPUTED_VALUE"""),"DMG: +50000, Fire DMG: +50000 ++Damages all enemies. +-Uses Missiles.")</f>
        <v>DMG: +50000, Fire DMG: +50000 ++Damages all enemies. +-Uses Missiles.</v>
      </c>
      <c r="G416" s="2">
        <f>IFERROR(__xludf.DUMMYFUNCTION("""COMPUTED_VALUE"""),1.99E8)</f>
        <v>199000000</v>
      </c>
      <c r="H416" s="2"/>
      <c r="I416" s="2"/>
      <c r="J416" s="2"/>
      <c r="K416" s="2"/>
      <c r="L416" s="2"/>
      <c r="M416" s="2"/>
      <c r="N416" s="2"/>
      <c r="O416" s="2"/>
      <c r="P416" s="2"/>
      <c r="Q416" s="2"/>
      <c r="R416" s="2"/>
      <c r="S416" s="2"/>
      <c r="T416" s="2"/>
      <c r="U416" s="2"/>
      <c r="V416" s="2"/>
      <c r="W416" s="2"/>
      <c r="X416" s="2"/>
      <c r="Y416" s="2"/>
      <c r="Z416" s="2"/>
    </row>
    <row r="417">
      <c r="A417" s="2" t="str">
        <f>IFERROR(__xludf.DUMMYFUNCTION("""COMPUTED_VALUE"""),"Royal Sword of Dragonia")</f>
        <v>Royal Sword of Dragonia</v>
      </c>
      <c r="B417" s="2"/>
      <c r="C417" s="2" t="str">
        <f>IFERROR(__xludf.DUMMYFUNCTION("""COMPUTED_VALUE"""),"Sword")</f>
        <v>Sword</v>
      </c>
      <c r="D417" s="2" t="str">
        <f>IFERROR(__xludf.DUMMYFUNCTION("""COMPUTED_VALUE"""),"Hand")</f>
        <v>Hand</v>
      </c>
      <c r="E417" s="2">
        <f>IFERROR(__xludf.DUMMYFUNCTION("""COMPUTED_VALUE"""),200.0)</f>
        <v>200</v>
      </c>
      <c r="F417" s="2" t="str">
        <f>IFERROR(__xludf.DUMMYFUNCTION("""COMPUTED_VALUE"""),"DMG: +50000, Fire DMG: +50000, Order DMG: +50000, Blood DMG: +25000, Celestial DMG: +25000 ++Dragons Luck II: If you have a dragon companion with you during the current battle add ++5 to your turn order roll. +-Cannot be forged +-Cannot be duplicated")</f>
        <v>DMG: +50000, Fire DMG: +50000, Order DMG: +50000, Blood DMG: +25000, Celestial DMG: +25000 ++Dragons Luck II: If you have a dragon companion with you during the current battle add ++5 to your turn order roll. +-Cannot be forged +-Cannot be duplicated</v>
      </c>
      <c r="G417" s="2">
        <f>IFERROR(__xludf.DUMMYFUNCTION("""COMPUTED_VALUE"""),7.98E8)</f>
        <v>798000000</v>
      </c>
      <c r="H417" s="2"/>
      <c r="I417" s="2"/>
      <c r="J417" s="2"/>
      <c r="K417" s="2"/>
      <c r="L417" s="2"/>
      <c r="M417" s="2"/>
      <c r="N417" s="2"/>
      <c r="O417" s="2"/>
      <c r="P417" s="2"/>
      <c r="Q417" s="2"/>
      <c r="R417" s="2"/>
      <c r="S417" s="2"/>
      <c r="T417" s="2"/>
      <c r="U417" s="2"/>
      <c r="V417" s="2"/>
      <c r="W417" s="2"/>
      <c r="X417" s="2"/>
      <c r="Y417" s="2"/>
      <c r="Z417" s="2"/>
    </row>
    <row r="418">
      <c r="A418" s="2" t="str">
        <f>IFERROR(__xludf.DUMMYFUNCTION("""COMPUTED_VALUE"""),"Dragonian Helm")</f>
        <v>Dragonian Helm</v>
      </c>
      <c r="B418" s="2"/>
      <c r="C418" s="2" t="str">
        <f>IFERROR(__xludf.DUMMYFUNCTION("""COMPUTED_VALUE"""),"Sword")</f>
        <v>Sword</v>
      </c>
      <c r="D418" s="2" t="str">
        <f>IFERROR(__xludf.DUMMYFUNCTION("""COMPUTED_VALUE"""),"Head")</f>
        <v>Head</v>
      </c>
      <c r="E418" s="2">
        <f>IFERROR(__xludf.DUMMYFUNCTION("""COMPUTED_VALUE"""),200.0)</f>
        <v>200</v>
      </c>
      <c r="F418" s="2" t="str">
        <f>IFERROR(__xludf.DUMMYFUNCTION("""COMPUTED_VALUE"""),"DEF: +50000, Fire DEF: +50000, Order DEF: +50000, Blood DEF: +25000, Celestial DEF: +25000 ++Dragons Armor: Damage dealt to the wearer by a dragon becomes halved. +-Cannot be forged +-Cannot be duplicated")</f>
        <v>DEF: +50000, Fire DEF: +50000, Order DEF: +50000, Blood DEF: +25000, Celestial DEF: +25000 ++Dragons Armor: Damage dealt to the wearer by a dragon becomes halved. +-Cannot be forged +-Cannot be duplicated</v>
      </c>
      <c r="G418" s="2">
        <f>IFERROR(__xludf.DUMMYFUNCTION("""COMPUTED_VALUE"""),7.98E8)</f>
        <v>798000000</v>
      </c>
      <c r="H418" s="2"/>
      <c r="I418" s="2"/>
      <c r="J418" s="2"/>
      <c r="K418" s="2"/>
      <c r="L418" s="2"/>
      <c r="M418" s="2"/>
      <c r="N418" s="2"/>
      <c r="O418" s="2"/>
      <c r="P418" s="2"/>
      <c r="Q418" s="2"/>
      <c r="R418" s="2"/>
      <c r="S418" s="2"/>
      <c r="T418" s="2"/>
      <c r="U418" s="2"/>
      <c r="V418" s="2"/>
      <c r="W418" s="2"/>
      <c r="X418" s="2"/>
      <c r="Y418" s="2"/>
      <c r="Z418" s="2"/>
    </row>
    <row r="419">
      <c r="A419" s="2" t="str">
        <f>IFERROR(__xludf.DUMMYFUNCTION("""COMPUTED_VALUE"""),"Dragonian Pauldrons")</f>
        <v>Dragonian Pauldrons</v>
      </c>
      <c r="B419" s="2"/>
      <c r="C419" s="2"/>
      <c r="D419" s="2" t="str">
        <f>IFERROR(__xludf.DUMMYFUNCTION("""COMPUTED_VALUE"""),"Shoulders")</f>
        <v>Shoulders</v>
      </c>
      <c r="E419" s="2">
        <f>IFERROR(__xludf.DUMMYFUNCTION("""COMPUTED_VALUE"""),200.0)</f>
        <v>200</v>
      </c>
      <c r="F419" s="2" t="str">
        <f>IFERROR(__xludf.DUMMYFUNCTION("""COMPUTED_VALUE"""),"DEF: +50000, Fire DEF: +50000, Order DEF: +50000, Blood DEF: +25000, Celestial DEF: +25000 ++Dragons Armor: Damage dealt to the wearer by a dragon becomes halved. +-Cannot be forged +-Cannot be duplicated")</f>
        <v>DEF: +50000, Fire DEF: +50000, Order DEF: +50000, Blood DEF: +25000, Celestial DEF: +25000 ++Dragons Armor: Damage dealt to the wearer by a dragon becomes halved. +-Cannot be forged +-Cannot be duplicated</v>
      </c>
      <c r="G419" s="2">
        <f>IFERROR(__xludf.DUMMYFUNCTION("""COMPUTED_VALUE"""),7.98E8)</f>
        <v>798000000</v>
      </c>
      <c r="H419" s="2"/>
      <c r="I419" s="2"/>
      <c r="J419" s="2"/>
      <c r="K419" s="2"/>
      <c r="L419" s="2"/>
      <c r="M419" s="2"/>
      <c r="N419" s="2"/>
      <c r="O419" s="2"/>
      <c r="P419" s="2"/>
      <c r="Q419" s="2"/>
      <c r="R419" s="2"/>
      <c r="S419" s="2"/>
      <c r="T419" s="2"/>
      <c r="U419" s="2"/>
      <c r="V419" s="2"/>
      <c r="W419" s="2"/>
      <c r="X419" s="2"/>
      <c r="Y419" s="2"/>
      <c r="Z419" s="2"/>
    </row>
    <row r="420">
      <c r="A420" s="2" t="str">
        <f>IFERROR(__xludf.DUMMYFUNCTION("""COMPUTED_VALUE"""),"Dragonian Chestplate")</f>
        <v>Dragonian Chestplate</v>
      </c>
      <c r="B420" s="2"/>
      <c r="C420" s="2"/>
      <c r="D420" s="2" t="str">
        <f>IFERROR(__xludf.DUMMYFUNCTION("""COMPUTED_VALUE"""),"Torso")</f>
        <v>Torso</v>
      </c>
      <c r="E420" s="2">
        <f>IFERROR(__xludf.DUMMYFUNCTION("""COMPUTED_VALUE"""),200.0)</f>
        <v>200</v>
      </c>
      <c r="F420" s="2" t="str">
        <f>IFERROR(__xludf.DUMMYFUNCTION("""COMPUTED_VALUE"""),"DEF: +50000, Fire DEF: +50000, Order DEF: +50000, Blood DEF: +25000, Celestial DEF: +25000 ++Dragons Armor: Damage dealt to the wearer by a dragon becomes halved. +-Cannot be forged +-Cannot be duplicated")</f>
        <v>DEF: +50000, Fire DEF: +50000, Order DEF: +50000, Blood DEF: +25000, Celestial DEF: +25000 ++Dragons Armor: Damage dealt to the wearer by a dragon becomes halved. +-Cannot be forged +-Cannot be duplicated</v>
      </c>
      <c r="G420" s="2">
        <f>IFERROR(__xludf.DUMMYFUNCTION("""COMPUTED_VALUE"""),7.98E8)</f>
        <v>798000000</v>
      </c>
      <c r="H420" s="2"/>
      <c r="I420" s="2"/>
      <c r="J420" s="2"/>
      <c r="K420" s="2"/>
      <c r="L420" s="2"/>
      <c r="M420" s="2"/>
      <c r="N420" s="2"/>
      <c r="O420" s="2"/>
      <c r="P420" s="2"/>
      <c r="Q420" s="2"/>
      <c r="R420" s="2"/>
      <c r="S420" s="2"/>
      <c r="T420" s="2"/>
      <c r="U420" s="2"/>
      <c r="V420" s="2"/>
      <c r="W420" s="2"/>
      <c r="X420" s="2"/>
      <c r="Y420" s="2"/>
      <c r="Z420" s="2"/>
    </row>
    <row r="421">
      <c r="A421" s="2" t="str">
        <f>IFERROR(__xludf.DUMMYFUNCTION("""COMPUTED_VALUE"""),"Dragonian Vambraces")</f>
        <v>Dragonian Vambraces</v>
      </c>
      <c r="B421" s="2"/>
      <c r="C421" s="2"/>
      <c r="D421" s="2" t="str">
        <f>IFERROR(__xludf.DUMMYFUNCTION("""COMPUTED_VALUE"""),"Arms")</f>
        <v>Arms</v>
      </c>
      <c r="E421" s="2">
        <f>IFERROR(__xludf.DUMMYFUNCTION("""COMPUTED_VALUE"""),200.0)</f>
        <v>200</v>
      </c>
      <c r="F421" s="2" t="str">
        <f>IFERROR(__xludf.DUMMYFUNCTION("""COMPUTED_VALUE"""),"DEF: +50000, Fire DEF: +50000, Order DEF: +50000, Blood DEF: +25000, Celestial DEF: +25000 ++Dragons Armor: Damage dealt to the wearer by a dragon becomes halved. +-Cannot be forged +-Cannot be duplicated")</f>
        <v>DEF: +50000, Fire DEF: +50000, Order DEF: +50000, Blood DEF: +25000, Celestial DEF: +25000 ++Dragons Armor: Damage dealt to the wearer by a dragon becomes halved. +-Cannot be forged +-Cannot be duplicated</v>
      </c>
      <c r="G421" s="2">
        <f>IFERROR(__xludf.DUMMYFUNCTION("""COMPUTED_VALUE"""),7.98E8)</f>
        <v>798000000</v>
      </c>
      <c r="H421" s="2"/>
      <c r="I421" s="2"/>
      <c r="J421" s="2"/>
      <c r="K421" s="2"/>
      <c r="L421" s="2"/>
      <c r="M421" s="2"/>
      <c r="N421" s="2"/>
      <c r="O421" s="2"/>
      <c r="P421" s="2"/>
      <c r="Q421" s="2"/>
      <c r="R421" s="2"/>
      <c r="S421" s="2"/>
      <c r="T421" s="2"/>
      <c r="U421" s="2"/>
      <c r="V421" s="2"/>
      <c r="W421" s="2"/>
      <c r="X421" s="2"/>
      <c r="Y421" s="2"/>
      <c r="Z421" s="2"/>
    </row>
    <row r="422">
      <c r="A422" s="2" t="str">
        <f>IFERROR(__xludf.DUMMYFUNCTION("""COMPUTED_VALUE"""),"Dragonian Greaves")</f>
        <v>Dragonian Greaves</v>
      </c>
      <c r="B422" s="2"/>
      <c r="C422" s="2"/>
      <c r="D422" s="2" t="str">
        <f>IFERROR(__xludf.DUMMYFUNCTION("""COMPUTED_VALUE"""),"Legs")</f>
        <v>Legs</v>
      </c>
      <c r="E422" s="2">
        <f>IFERROR(__xludf.DUMMYFUNCTION("""COMPUTED_VALUE"""),200.0)</f>
        <v>200</v>
      </c>
      <c r="F422" s="2" t="str">
        <f>IFERROR(__xludf.DUMMYFUNCTION("""COMPUTED_VALUE"""),"DEF: +50000, Fire DEF: +50000, Order DEF: +50000, Blood DEF: +25000, Celestial DEF: +25000 ++Dragons Armor: Damage dealt to the wearer by a dragon becomes halved. +-Cannot be forged +-Cannot be duplicated")</f>
        <v>DEF: +50000, Fire DEF: +50000, Order DEF: +50000, Blood DEF: +25000, Celestial DEF: +25000 ++Dragons Armor: Damage dealt to the wearer by a dragon becomes halved. +-Cannot be forged +-Cannot be duplicated</v>
      </c>
      <c r="G422" s="2">
        <f>IFERROR(__xludf.DUMMYFUNCTION("""COMPUTED_VALUE"""),7.98E8)</f>
        <v>798000000</v>
      </c>
      <c r="H422" s="2"/>
      <c r="I422" s="2"/>
      <c r="J422" s="2"/>
      <c r="K422" s="2"/>
      <c r="L422" s="2"/>
      <c r="M422" s="2"/>
      <c r="N422" s="2"/>
      <c r="O422" s="2"/>
      <c r="P422" s="2"/>
      <c r="Q422" s="2"/>
      <c r="R422" s="2"/>
      <c r="S422" s="2"/>
      <c r="T422" s="2"/>
      <c r="U422" s="2"/>
      <c r="V422" s="2"/>
      <c r="W422" s="2"/>
      <c r="X422" s="2"/>
      <c r="Y422" s="2"/>
      <c r="Z422" s="2"/>
    </row>
    <row r="423">
      <c r="A423" s="2" t="str">
        <f>IFERROR(__xludf.DUMMYFUNCTION("""COMPUTED_VALUE"""),"Dragonian Boots")</f>
        <v>Dragonian Boots</v>
      </c>
      <c r="B423" s="2"/>
      <c r="C423" s="2"/>
      <c r="D423" s="2" t="str">
        <f>IFERROR(__xludf.DUMMYFUNCTION("""COMPUTED_VALUE"""),"Feet")</f>
        <v>Feet</v>
      </c>
      <c r="E423" s="2">
        <f>IFERROR(__xludf.DUMMYFUNCTION("""COMPUTED_VALUE"""),200.0)</f>
        <v>200</v>
      </c>
      <c r="F423" s="2" t="str">
        <f>IFERROR(__xludf.DUMMYFUNCTION("""COMPUTED_VALUE"""),"DEF: +50000, Fire DEF: +50000, Order DEF: +50000, Blood DEF: +25000, Celestial DEF: +25000 ++Dragons Armor: Damage dealt to the wearer by a dragon becomes halved. +-Cannot be forged +-Cannot be duplicated")</f>
        <v>DEF: +50000, Fire DEF: +50000, Order DEF: +50000, Blood DEF: +25000, Celestial DEF: +25000 ++Dragons Armor: Damage dealt to the wearer by a dragon becomes halved. +-Cannot be forged +-Cannot be duplicated</v>
      </c>
      <c r="G423" s="2">
        <f>IFERROR(__xludf.DUMMYFUNCTION("""COMPUTED_VALUE"""),7.98E8)</f>
        <v>798000000</v>
      </c>
      <c r="H423" s="2"/>
      <c r="I423" s="2"/>
      <c r="J423" s="2"/>
      <c r="K423" s="2"/>
      <c r="L423" s="2"/>
      <c r="M423" s="2"/>
      <c r="N423" s="2"/>
      <c r="O423" s="2"/>
      <c r="P423" s="2"/>
      <c r="Q423" s="2"/>
      <c r="R423" s="2"/>
      <c r="S423" s="2"/>
      <c r="T423" s="2"/>
      <c r="U423" s="2"/>
      <c r="V423" s="2"/>
      <c r="W423" s="2"/>
      <c r="X423" s="2"/>
      <c r="Y423" s="2"/>
      <c r="Z423" s="2"/>
    </row>
    <row r="424">
      <c r="A424" s="2" t="str">
        <f>IFERROR(__xludf.DUMMYFUNCTION("""COMPUTED_VALUE"""),"Dragonian Pendent")</f>
        <v>Dragonian Pendent</v>
      </c>
      <c r="B424" s="2"/>
      <c r="C424" s="2"/>
      <c r="D424" s="2" t="str">
        <f>IFERROR(__xludf.DUMMYFUNCTION("""COMPUTED_VALUE"""),"Neck")</f>
        <v>Neck</v>
      </c>
      <c r="E424" s="2">
        <f>IFERROR(__xludf.DUMMYFUNCTION("""COMPUTED_VALUE"""),200.0)</f>
        <v>200</v>
      </c>
      <c r="F424" s="2" t="str">
        <f>IFERROR(__xludf.DUMMYFUNCTION("""COMPUTED_VALUE"""),", Celestial DEF: +15000 ++Dragon Dealer: Damage dealt to dragons by the wearer is increased by X4. +-Cannot be forged +-Cannot be duplicated")</f>
        <v>, Celestial DEF: +15000 ++Dragon Dealer: Damage dealt to dragons by the wearer is increased by X4. +-Cannot be forged +-Cannot be duplicated</v>
      </c>
      <c r="G424" s="2">
        <f>IFERROR(__xludf.DUMMYFUNCTION("""COMPUTED_VALUE"""),4350000.0)</f>
        <v>4350000</v>
      </c>
      <c r="H424" s="2"/>
      <c r="I424" s="2"/>
      <c r="J424" s="2"/>
      <c r="K424" s="2"/>
      <c r="L424" s="2"/>
      <c r="M424" s="2"/>
      <c r="N424" s="2"/>
      <c r="O424" s="2"/>
      <c r="P424" s="2"/>
      <c r="Q424" s="2"/>
      <c r="R424" s="2"/>
      <c r="S424" s="2"/>
      <c r="T424" s="2"/>
      <c r="U424" s="2"/>
      <c r="V424" s="2"/>
      <c r="W424" s="2"/>
      <c r="X424" s="2"/>
      <c r="Y424" s="2"/>
      <c r="Z424" s="2"/>
    </row>
    <row r="425">
      <c r="A425" s="2" t="str">
        <f>IFERROR(__xludf.DUMMYFUNCTION("""COMPUTED_VALUE"""),"Dragonian Ring")</f>
        <v>Dragonian Ring</v>
      </c>
      <c r="B425" s="2"/>
      <c r="C425" s="2"/>
      <c r="D425" s="2" t="str">
        <f>IFERROR(__xludf.DUMMYFUNCTION("""COMPUTED_VALUE"""),"Ring")</f>
        <v>Ring</v>
      </c>
      <c r="E425" s="2">
        <f>IFERROR(__xludf.DUMMYFUNCTION("""COMPUTED_VALUE"""),200.0)</f>
        <v>200</v>
      </c>
      <c r="F425" s="2" t="str">
        <f>IFERROR(__xludf.DUMMYFUNCTION("""COMPUTED_VALUE"""),", Celestial DEF: +15000 ++Dragon Dealer: Damage dealt to dragons by the wearer is increased by X4. +-Cannot be forged +-Cannot be duplicated")</f>
        <v>, Celestial DEF: +15000 ++Dragon Dealer: Damage dealt to dragons by the wearer is increased by X4. +-Cannot be forged +-Cannot be duplicated</v>
      </c>
      <c r="G425" s="2">
        <f>IFERROR(__xludf.DUMMYFUNCTION("""COMPUTED_VALUE"""),4350000.0)</f>
        <v>4350000</v>
      </c>
      <c r="H425" s="2"/>
      <c r="I425" s="2"/>
      <c r="J425" s="2"/>
      <c r="K425" s="2"/>
      <c r="L425" s="2"/>
      <c r="M425" s="2"/>
      <c r="N425" s="2"/>
      <c r="O425" s="2"/>
      <c r="P425" s="2"/>
      <c r="Q425" s="2"/>
      <c r="R425" s="2"/>
      <c r="S425" s="2"/>
      <c r="T425" s="2"/>
      <c r="U425" s="2"/>
      <c r="V425" s="2"/>
      <c r="W425" s="2"/>
      <c r="X425" s="2"/>
      <c r="Y425" s="2"/>
      <c r="Z425" s="2"/>
    </row>
    <row r="426">
      <c r="A426" s="2" t="str">
        <f>IFERROR(__xludf.DUMMYFUNCTION("""COMPUTED_VALUE"""),"Fishing Pole of Luck and Power")</f>
        <v>Fishing Pole of Luck and Power</v>
      </c>
      <c r="B426" s="2"/>
      <c r="C426" s="2" t="str">
        <f>IFERROR(__xludf.DUMMYFUNCTION("""COMPUTED_VALUE"""),"Club")</f>
        <v>Club</v>
      </c>
      <c r="D426" s="2" t="str">
        <f>IFERROR(__xludf.DUMMYFUNCTION("""COMPUTED_VALUE"""),"Hand")</f>
        <v>Hand</v>
      </c>
      <c r="E426" s="2">
        <f>IFERROR(__xludf.DUMMYFUNCTION("""COMPUTED_VALUE"""),1600.0)</f>
        <v>1600</v>
      </c>
      <c r="F426" s="2" t="str">
        <f>IFERROR(__xludf.DUMMYFUNCTION("""COMPUTED_VALUE"""),"DMG: +20000, Fire DMG: +20000, Water DMG: +20000, Storm DMG: +20000 ++Can be used as a weapon or to fish, Will cook fish that are caught. ++When you deal damage to a target with this item it will have a 50% chance to remove them from battle.")</f>
        <v>DMG: +20000, Fire DMG: +20000, Water DMG: +20000, Storm DMG: +20000 ++Can be used as a weapon or to fish, Will cook fish that are caught. ++When you deal damage to a target with this item it will have a 50% chance to remove them from battle.</v>
      </c>
      <c r="G426" s="2">
        <f>IFERROR(__xludf.DUMMYFUNCTION("""COMPUTED_VALUE"""),1.272E8)</f>
        <v>127200000</v>
      </c>
      <c r="H426" s="2"/>
      <c r="I426" s="2"/>
      <c r="J426" s="2"/>
      <c r="K426" s="2"/>
      <c r="L426" s="2"/>
      <c r="M426" s="2"/>
      <c r="N426" s="2"/>
      <c r="O426" s="2"/>
      <c r="P426" s="2"/>
      <c r="Q426" s="2"/>
      <c r="R426" s="2"/>
      <c r="S426" s="2"/>
      <c r="T426" s="2"/>
      <c r="U426" s="2"/>
      <c r="V426" s="2"/>
      <c r="W426" s="2"/>
      <c r="X426" s="2"/>
      <c r="Y426" s="2"/>
      <c r="Z426" s="2"/>
    </row>
    <row r="427">
      <c r="A427" s="2" t="str">
        <f>IFERROR(__xludf.DUMMYFUNCTION("""COMPUTED_VALUE"""),"Ancient Oni Pauldrons")</f>
        <v>Ancient Oni Pauldrons</v>
      </c>
      <c r="B427" s="2" t="str">
        <f>IFERROR(__xludf.DUMMYFUNCTION("""COMPUTED_VALUE"""),"An ancient relic to Zhenmay")</f>
        <v>An ancient relic to Zhenmay</v>
      </c>
      <c r="C427" s="2"/>
      <c r="D427" s="2" t="str">
        <f>IFERROR(__xludf.DUMMYFUNCTION("""COMPUTED_VALUE"""),"Shoulders")</f>
        <v>Shoulders</v>
      </c>
      <c r="E427" s="2">
        <f>IFERROR(__xludf.DUMMYFUNCTION("""COMPUTED_VALUE"""),200.0)</f>
        <v>200</v>
      </c>
      <c r="F427" s="2"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damage for all elements. +-Only Samurai's, Monks, and Ninjas can equip. +-Cannot be forged +-Cannot be duplicated")</f>
        <v>DEF: +10000, Fire DEF: +10000, Physical DEF: +10000, Water DEF: +10000, Storm DEF: +10000, Earth DEF: +10000, Light DEF: +10000, Dark DEF: +10000, Spirit DEF: +10000, Order DEF: +10000, Chaos DEF: +10000, Nature DEF: +10000, Voodoo DEF: +10000, Blood DEF: +10000, Astral DEF: +10000, Celestial DEF: +10000 ++X2 damage for all elements. +-Only Samurai's, Monks, and Ninjas can equip. +-Cannot be forged +-Cannot be duplicated</v>
      </c>
      <c r="G427" s="2">
        <f>IFERROR(__xludf.DUMMYFUNCTION("""COMPUTED_VALUE"""),5.104E8)</f>
        <v>510400000</v>
      </c>
      <c r="H427" s="2"/>
      <c r="I427" s="2"/>
      <c r="J427" s="2"/>
      <c r="K427" s="2"/>
      <c r="L427" s="2"/>
      <c r="M427" s="2"/>
      <c r="N427" s="2"/>
      <c r="O427" s="2"/>
      <c r="P427" s="2"/>
      <c r="Q427" s="2"/>
      <c r="R427" s="2"/>
      <c r="S427" s="2"/>
      <c r="T427" s="2"/>
      <c r="U427" s="2"/>
      <c r="V427" s="2"/>
      <c r="W427" s="2"/>
      <c r="X427" s="2"/>
      <c r="Y427" s="2"/>
      <c r="Z427" s="2"/>
    </row>
    <row r="428">
      <c r="A428" s="2" t="str">
        <f>IFERROR(__xludf.DUMMYFUNCTION("""COMPUTED_VALUE"""),"Ancient Oni Vambraces")</f>
        <v>Ancient Oni Vambraces</v>
      </c>
      <c r="B428" s="2" t="str">
        <f>IFERROR(__xludf.DUMMYFUNCTION("""COMPUTED_VALUE"""),"An ancient relic to Zhenmay")</f>
        <v>An ancient relic to Zhenmay</v>
      </c>
      <c r="C428" s="2"/>
      <c r="D428" s="2" t="str">
        <f>IFERROR(__xludf.DUMMYFUNCTION("""COMPUTED_VALUE"""),"Arms")</f>
        <v>Arms</v>
      </c>
      <c r="E428" s="2">
        <f>IFERROR(__xludf.DUMMYFUNCTION("""COMPUTED_VALUE"""),200.0)</f>
        <v>200</v>
      </c>
      <c r="F428" s="2"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additional damage for all elements. +-Only Samurai's, Monks, and Ninjas can equip. +-Cannot be forged +-Cannot be duplicated")</f>
        <v>DEF: +10000, Fire DEF: +10000, Physical DEF: +10000, Water DEF: +10000, Storm DEF: +10000, Earth DEF: +10000, Light DEF: +10000, Dark DEF: +10000, Spirit DEF: +10000, Order DEF: +10000, Chaos DEF: +10000, Nature DEF: +10000, Voodoo DEF: +10000, Blood DEF: +10000, Astral DEF: +10000, Celestial DEF: +10000 ++X2 additional damage for all elements. +-Only Samurai's, Monks, and Ninjas can equip. +-Cannot be forged +-Cannot be duplicated</v>
      </c>
      <c r="G428" s="2">
        <f>IFERROR(__xludf.DUMMYFUNCTION("""COMPUTED_VALUE"""),5.104E8)</f>
        <v>510400000</v>
      </c>
      <c r="H428" s="2"/>
      <c r="I428" s="2"/>
      <c r="J428" s="2"/>
      <c r="K428" s="2"/>
      <c r="L428" s="2"/>
      <c r="M428" s="2"/>
      <c r="N428" s="2"/>
      <c r="O428" s="2"/>
      <c r="P428" s="2"/>
      <c r="Q428" s="2"/>
      <c r="R428" s="2"/>
      <c r="S428" s="2"/>
      <c r="T428" s="2"/>
      <c r="U428" s="2"/>
      <c r="V428" s="2"/>
      <c r="W428" s="2"/>
      <c r="X428" s="2"/>
      <c r="Y428" s="2"/>
      <c r="Z428" s="2"/>
    </row>
    <row r="429">
      <c r="A429" s="2" t="str">
        <f>IFERROR(__xludf.DUMMYFUNCTION("""COMPUTED_VALUE"""),"Ancient Oni Greaves")</f>
        <v>Ancient Oni Greaves</v>
      </c>
      <c r="B429" s="2" t="str">
        <f>IFERROR(__xludf.DUMMYFUNCTION("""COMPUTED_VALUE"""),"An ancient relic to Zhenmay")</f>
        <v>An ancient relic to Zhenmay</v>
      </c>
      <c r="C429" s="2"/>
      <c r="D429" s="2" t="str">
        <f>IFERROR(__xludf.DUMMYFUNCTION("""COMPUTED_VALUE"""),"Legs")</f>
        <v>Legs</v>
      </c>
      <c r="E429" s="2">
        <f>IFERROR(__xludf.DUMMYFUNCTION("""COMPUTED_VALUE"""),200.0)</f>
        <v>200</v>
      </c>
      <c r="F429" s="2"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additional damage for all elements. +-Only Samurai's, Monks, and Ninjas can equip. +-Cannot be forged +-Cannot be duplicated")</f>
        <v>DEF: +10000, Fire DEF: +10000, Physical DEF: +10000, Water DEF: +10000, Storm DEF: +10000, Earth DEF: +10000, Light DEF: +10000, Dark DEF: +10000, Spirit DEF: +10000, Order DEF: +10000, Chaos DEF: +10000, Nature DEF: +10000, Voodoo DEF: +10000, Blood DEF: +10000, Astral DEF: +10000, Celestial DEF: +10000 ++X2 additional damage for all elements. +-Only Samurai's, Monks, and Ninjas can equip. +-Cannot be forged +-Cannot be duplicated</v>
      </c>
      <c r="G429" s="2">
        <f>IFERROR(__xludf.DUMMYFUNCTION("""COMPUTED_VALUE"""),5.104E8)</f>
        <v>510400000</v>
      </c>
      <c r="H429" s="2"/>
      <c r="I429" s="2"/>
      <c r="J429" s="2"/>
      <c r="K429" s="2"/>
      <c r="L429" s="2"/>
      <c r="M429" s="2"/>
      <c r="N429" s="2"/>
      <c r="O429" s="2"/>
      <c r="P429" s="2"/>
      <c r="Q429" s="2"/>
      <c r="R429" s="2"/>
      <c r="S429" s="2"/>
      <c r="T429" s="2"/>
      <c r="U429" s="2"/>
      <c r="V429" s="2"/>
      <c r="W429" s="2"/>
      <c r="X429" s="2"/>
      <c r="Y429" s="2"/>
      <c r="Z429" s="2"/>
    </row>
    <row r="430">
      <c r="A430" s="2" t="str">
        <f>IFERROR(__xludf.DUMMYFUNCTION("""COMPUTED_VALUE"""),"Ancient Oni Boots")</f>
        <v>Ancient Oni Boots</v>
      </c>
      <c r="B430" s="2" t="str">
        <f>IFERROR(__xludf.DUMMYFUNCTION("""COMPUTED_VALUE"""),"An ancient relic to Zhenmay")</f>
        <v>An ancient relic to Zhenmay</v>
      </c>
      <c r="C430" s="2"/>
      <c r="D430" s="2" t="str">
        <f>IFERROR(__xludf.DUMMYFUNCTION("""COMPUTED_VALUE"""),"Feet")</f>
        <v>Feet</v>
      </c>
      <c r="E430" s="2">
        <f>IFERROR(__xludf.DUMMYFUNCTION("""COMPUTED_VALUE"""),200.0)</f>
        <v>200</v>
      </c>
      <c r="F430" s="2" t="str">
        <f>IFERROR(__xludf.DUMMYFUNCTION("""COMPUTED_VALUE"""),"DEF: +10000, Fire DEF: +10000, Physical DEF: +10000, Water DEF: +10000, Storm DEF: +10000, Earth DEF: +10000, Light DEF: +10000, Dark DEF: +10000, Spirit DEF: +10000, Order DEF: +10000, Chaos DEF: +10000, Nature DEF: +10000, Voodoo DEF: +10000, Blood DEF:"&amp;" +10000, Astral DEF: +10000, Celestial DEF: +10000 ++X2 additional damage for all elements. +-Only Samurai's, Monks, and Ninjas can equip. +-Cannot be forged +-Cannot be duplicated")</f>
        <v>DEF: +10000, Fire DEF: +10000, Physical DEF: +10000, Water DEF: +10000, Storm DEF: +10000, Earth DEF: +10000, Light DEF: +10000, Dark DEF: +10000, Spirit DEF: +10000, Order DEF: +10000, Chaos DEF: +10000, Nature DEF: +10000, Voodoo DEF: +10000, Blood DEF: +10000, Astral DEF: +10000, Celestial DEF: +10000 ++X2 additional damage for all elements. +-Only Samurai's, Monks, and Ninjas can equip. +-Cannot be forged +-Cannot be duplicated</v>
      </c>
      <c r="G430" s="2">
        <f>IFERROR(__xludf.DUMMYFUNCTION("""COMPUTED_VALUE"""),5.104E8)</f>
        <v>510400000</v>
      </c>
      <c r="H430" s="2"/>
      <c r="I430" s="2"/>
      <c r="J430" s="2"/>
      <c r="K430" s="2"/>
      <c r="L430" s="2"/>
      <c r="M430" s="2"/>
      <c r="N430" s="2"/>
      <c r="O430" s="2"/>
      <c r="P430" s="2"/>
      <c r="Q430" s="2"/>
      <c r="R430" s="2"/>
      <c r="S430" s="2"/>
      <c r="T430" s="2"/>
      <c r="U430" s="2"/>
      <c r="V430" s="2"/>
      <c r="W430" s="2"/>
      <c r="X430" s="2"/>
      <c r="Y430" s="2"/>
      <c r="Z430" s="2"/>
    </row>
    <row r="431">
      <c r="A431" s="2" t="str">
        <f>IFERROR(__xludf.DUMMYFUNCTION("""COMPUTED_VALUE"""),"Ancient Oni Katana")</f>
        <v>Ancient Oni Katana</v>
      </c>
      <c r="B431" s="2" t="str">
        <f>IFERROR(__xludf.DUMMYFUNCTION("""COMPUTED_VALUE"""),"An ancient relic to Zhenmay")</f>
        <v>An ancient relic to Zhenmay</v>
      </c>
      <c r="C431" s="2" t="str">
        <f>IFERROR(__xludf.DUMMYFUNCTION("""COMPUTED_VALUE"""),"Sword")</f>
        <v>Sword</v>
      </c>
      <c r="D431" s="2" t="str">
        <f>IFERROR(__xludf.DUMMYFUNCTION("""COMPUTED_VALUE"""),"Hand")</f>
        <v>Hand</v>
      </c>
      <c r="E431" s="2">
        <f>IFERROR(__xludf.DUMMYFUNCTION("""COMPUTED_VALUE"""),200.0)</f>
        <v>200</v>
      </c>
      <c r="F431" s="2" t="str">
        <f>IFERROR(__xludf.DUMMYFUNCTION("""COMPUTED_VALUE"""),"DMG: +10000, Fire DMG: +10000, Physical DMG: +10000, Water DMG: +10000, Storm DMG: +10000, Earth DMG: +10000, Light DMG: +10000, Dark DMG: +10000, Spirit DMG: +10000, Order DMG: +10000, Chaos DMG: +10000, Nature DMG: +10000, Voodoo DMG: +10000, Blood DMG:"&amp;" +10000, Astral DMG: +10000, Celestial DMG: +10000 ++X2 additional damage for all elements. +-Only Samurai's, Monks, and Ninjas can equip. +-Cannot be forged +-Cannot be duplicated")</f>
        <v>DMG: +10000, Fire DMG: +10000, Physical DMG: +10000, Water DMG: +10000, Storm DMG: +10000, Earth DMG: +10000, Light DMG: +10000, Dark DMG: +10000, Spirit DMG: +10000, Order DMG: +10000, Chaos DMG: +10000, Nature DMG: +10000, Voodoo DMG: +10000, Blood DMG: +10000, Astral DMG: +10000, Celestial DMG: +10000 ++X2 additional damage for all elements. +-Only Samurai's, Monks, and Ninjas can equip. +-Cannot be forged +-Cannot be duplicated</v>
      </c>
      <c r="G431" s="2">
        <f>IFERROR(__xludf.DUMMYFUNCTION("""COMPUTED_VALUE"""),5.104E8)</f>
        <v>510400000</v>
      </c>
      <c r="H431" s="2"/>
      <c r="I431" s="2"/>
      <c r="J431" s="2"/>
      <c r="K431" s="2"/>
      <c r="L431" s="2"/>
      <c r="M431" s="2"/>
      <c r="N431" s="2"/>
      <c r="O431" s="2"/>
      <c r="P431" s="2"/>
      <c r="Q431" s="2"/>
      <c r="R431" s="2"/>
      <c r="S431" s="2"/>
      <c r="T431" s="2"/>
      <c r="U431" s="2"/>
      <c r="V431" s="2"/>
      <c r="W431" s="2"/>
      <c r="X431" s="2"/>
      <c r="Y431" s="2"/>
      <c r="Z431" s="2"/>
    </row>
    <row r="432">
      <c r="A432" s="2" t="str">
        <f>IFERROR(__xludf.DUMMYFUNCTION("""COMPUTED_VALUE"""),"The Grand Staff of Evil Flames")</f>
        <v>The Grand Staff of Evil Flames</v>
      </c>
      <c r="B432" s="2"/>
      <c r="C432" s="2" t="str">
        <f>IFERROR(__xludf.DUMMYFUNCTION("""COMPUTED_VALUE"""),"Staff")</f>
        <v>Staff</v>
      </c>
      <c r="D432" s="2" t="str">
        <f>IFERROR(__xludf.DUMMYFUNCTION("""COMPUTED_VALUE"""),"Hand")</f>
        <v>Hand</v>
      </c>
      <c r="E432" s="2">
        <f>IFERROR(__xludf.DUMMYFUNCTION("""COMPUTED_VALUE"""),1200.0)</f>
        <v>1200</v>
      </c>
      <c r="F432" s="2" t="str">
        <f>IFERROR(__xludf.DUMMYFUNCTION("""COMPUTED_VALUE"""),", Fire DMG: +20000, Dark DMG: +20000, Chaos DMG: +20000 ++X4 additional Dark, Fire, and Chaos damage for the user while equipped. +-Cannot be duplicated")</f>
        <v>, Fire DMG: +20000, Dark DMG: +20000, Chaos DMG: +20000 ++X4 additional Dark, Fire, and Chaos damage for the user while equipped. +-Cannot be duplicated</v>
      </c>
      <c r="G432" s="2">
        <f>IFERROR(__xludf.DUMMYFUNCTION("""COMPUTED_VALUE"""),7.14E7)</f>
        <v>71400000</v>
      </c>
      <c r="H432" s="2"/>
      <c r="I432" s="2"/>
      <c r="J432" s="2"/>
      <c r="K432" s="2"/>
      <c r="L432" s="2"/>
      <c r="M432" s="2"/>
      <c r="N432" s="2"/>
      <c r="O432" s="2"/>
      <c r="P432" s="2"/>
      <c r="Q432" s="2"/>
      <c r="R432" s="2"/>
      <c r="S432" s="2"/>
      <c r="T432" s="2"/>
      <c r="U432" s="2"/>
      <c r="V432" s="2"/>
      <c r="W432" s="2"/>
      <c r="X432" s="2"/>
      <c r="Y432" s="2"/>
      <c r="Z432" s="2"/>
    </row>
    <row r="433">
      <c r="A433" s="2" t="str">
        <f>IFERROR(__xludf.DUMMYFUNCTION("""COMPUTED_VALUE"""),"Soul Sword of The Endless Realm")</f>
        <v>Soul Sword of The Endless Realm</v>
      </c>
      <c r="B433" s="2"/>
      <c r="C433" s="2" t="str">
        <f>IFERROR(__xludf.DUMMYFUNCTION("""COMPUTED_VALUE"""),"Sword")</f>
        <v>Sword</v>
      </c>
      <c r="D433" s="2" t="str">
        <f>IFERROR(__xludf.DUMMYFUNCTION("""COMPUTED_VALUE"""),"Hand")</f>
        <v>Hand</v>
      </c>
      <c r="E433" s="2">
        <f>IFERROR(__xludf.DUMMYFUNCTION("""COMPUTED_VALUE"""),200.0)</f>
        <v>200</v>
      </c>
      <c r="F433" s="2" t="str">
        <f>IFERROR(__xludf.DUMMYFUNCTION("""COMPUTED_VALUE"""),"DMG: +150000, Dark DMG: +150000, Celestial DMG: +150000 ++While equipped if you have other soul related items equipped this sword will deal X8 additional damage, ++SP Steal: Gain SP back equal to the damage caused with this weapon. +-Cannot be duplicated.")</f>
        <v>DMG: +150000, Dark DMG: +150000, Celestial DMG: +150000 ++While equipped if you have other soul related items equipped this sword will deal X8 additional damage, ++SP Steal: Gain SP back equal to the damage caused with this weapon. +-Cannot be duplicated.</v>
      </c>
      <c r="G433" s="2">
        <f>IFERROR(__xludf.DUMMYFUNCTION("""COMPUTED_VALUE"""),4.0455E9)</f>
        <v>4045500000</v>
      </c>
      <c r="H433" s="2"/>
      <c r="I433" s="2"/>
      <c r="J433" s="2"/>
      <c r="K433" s="2"/>
      <c r="L433" s="2"/>
      <c r="M433" s="2"/>
      <c r="N433" s="2"/>
      <c r="O433" s="2"/>
      <c r="P433" s="2"/>
      <c r="Q433" s="2"/>
      <c r="R433" s="2"/>
      <c r="S433" s="2"/>
      <c r="T433" s="2"/>
      <c r="U433" s="2"/>
      <c r="V433" s="2"/>
      <c r="W433" s="2"/>
      <c r="X433" s="2"/>
      <c r="Y433" s="2"/>
      <c r="Z433" s="2"/>
    </row>
    <row r="434">
      <c r="A434" s="2" t="str">
        <f>IFERROR(__xludf.DUMMYFUNCTION("""COMPUTED_VALUE"""),"Rat King's Crown")</f>
        <v>Rat King's Crown</v>
      </c>
      <c r="B434" s="2"/>
      <c r="C434" s="2"/>
      <c r="D434" s="2" t="str">
        <f>IFERROR(__xludf.DUMMYFUNCTION("""COMPUTED_VALUE"""),"Head")</f>
        <v>Head</v>
      </c>
      <c r="E434" s="2">
        <f>IFERROR(__xludf.DUMMYFUNCTION("""COMPUTED_VALUE"""),1000.0)</f>
        <v>1000</v>
      </c>
      <c r="F434" s="2" t="str">
        <f>IFERROR(__xludf.DUMMYFUNCTION("""COMPUTED_VALUE"""),"DEF: +50000 ++If you or a party member dies this crown will summon a d2 of Lava Rats, Level determined by DM/GM, This effect can only be applied once per battle. +-Cannot be duplicated.")</f>
        <v>DEF: +50000 ++If you or a party member dies this crown will summon a d2 of Lava Rats, Level determined by DM/GM, This effect can only be applied once per battle. +-Cannot be duplicated.</v>
      </c>
      <c r="G434" s="2">
        <f>IFERROR(__xludf.DUMMYFUNCTION("""COMPUTED_VALUE"""),4.95E7)</f>
        <v>49500000</v>
      </c>
      <c r="H434" s="2"/>
      <c r="I434" s="2"/>
      <c r="J434" s="2"/>
      <c r="K434" s="2"/>
      <c r="L434" s="2"/>
      <c r="M434" s="2"/>
      <c r="N434" s="2"/>
      <c r="O434" s="2"/>
      <c r="P434" s="2"/>
      <c r="Q434" s="2"/>
      <c r="R434" s="2"/>
      <c r="S434" s="2"/>
      <c r="T434" s="2"/>
      <c r="U434" s="2"/>
      <c r="V434" s="2"/>
      <c r="W434" s="2"/>
      <c r="X434" s="2"/>
      <c r="Y434" s="2"/>
      <c r="Z434" s="2"/>
    </row>
    <row r="435">
      <c r="A435" s="2" t="str">
        <f>IFERROR(__xludf.DUMMYFUNCTION("""COMPUTED_VALUE"""),"Vermouth's Crown of Tides")</f>
        <v>Vermouth's Crown of Tides</v>
      </c>
      <c r="B435" s="2" t="str">
        <f>IFERROR(__xludf.DUMMYFUNCTION("""COMPUTED_VALUE"""),"A magical artifact that grants control over water and weather, allowing the wearer to manipulate aquatic elements.")</f>
        <v>A magical artifact that grants control over water and weather, allowing the wearer to manipulate aquatic elements.</v>
      </c>
      <c r="C435" s="2"/>
      <c r="D435" s="2" t="str">
        <f>IFERROR(__xludf.DUMMYFUNCTION("""COMPUTED_VALUE"""),"Head")</f>
        <v>Head</v>
      </c>
      <c r="E435" s="2">
        <f>IFERROR(__xludf.DUMMYFUNCTION("""COMPUTED_VALUE"""),700.0)</f>
        <v>700</v>
      </c>
      <c r="F435" s="2" t="str">
        <f>IFERROR(__xludf.DUMMYFUNCTION("""COMPUTED_VALUE"""),"DEF: +25000, Water DEF: +10000 ++Immunity to Water damage. ++X2 Additional Water damage for the user.")</f>
        <v>DEF: +25000, Water DEF: +10000 ++Immunity to Water damage. ++X2 Additional Water damage for the user.</v>
      </c>
      <c r="G435" s="2">
        <f>IFERROR(__xludf.DUMMYFUNCTION("""COMPUTED_VALUE"""),2.415E7)</f>
        <v>24150000</v>
      </c>
      <c r="H435" s="2"/>
      <c r="I435" s="2"/>
      <c r="J435" s="2"/>
      <c r="K435" s="2"/>
      <c r="L435" s="2"/>
      <c r="M435" s="2"/>
      <c r="N435" s="2"/>
      <c r="O435" s="2"/>
      <c r="P435" s="2"/>
      <c r="Q435" s="2"/>
      <c r="R435" s="2"/>
      <c r="S435" s="2"/>
      <c r="T435" s="2"/>
      <c r="U435" s="2"/>
      <c r="V435" s="2"/>
      <c r="W435" s="2"/>
      <c r="X435" s="2"/>
      <c r="Y435" s="2"/>
      <c r="Z435" s="2"/>
    </row>
    <row r="436">
      <c r="A436" s="2" t="str">
        <f>IFERROR(__xludf.DUMMYFUNCTION("""COMPUTED_VALUE"""),"ChronoMech Enigma")</f>
        <v>ChronoMech Enigma</v>
      </c>
      <c r="B436" s="2" t="str">
        <f>IFERROR(__xludf.DUMMYFUNCTION("""COMPUTED_VALUE"""),"A clockwork device that grants unique abilities.")</f>
        <v>A clockwork device that grants unique abilities.</v>
      </c>
      <c r="C436" s="2"/>
      <c r="D436" s="2" t="str">
        <f>IFERROR(__xludf.DUMMYFUNCTION("""COMPUTED_VALUE"""),"Hand")</f>
        <v>Hand</v>
      </c>
      <c r="E436" s="2">
        <f>IFERROR(__xludf.DUMMYFUNCTION("""COMPUTED_VALUE"""),200.0)</f>
        <v>200</v>
      </c>
      <c r="F436" s="2" t="str">
        <f>IFERROR(__xludf.DUMMYFUNCTION("""COMPUTED_VALUE"""),"DEF: +10000 ++Allows you to change the time of day to day or night. Can only be used once per journey while traveling. ++Fail/Succeed. +-Cannot be duplicated.")</f>
        <v>DEF: +10000 ++Allows you to change the time of day to day or night. Can only be used once per journey while traveling. ++Fail/Succeed. +-Cannot be duplicated.</v>
      </c>
      <c r="G436" s="2">
        <f>IFERROR(__xludf.DUMMYFUNCTION("""COMPUTED_VALUE"""),1900000.0)</f>
        <v>1900000</v>
      </c>
      <c r="H436" s="2"/>
      <c r="I436" s="2"/>
      <c r="J436" s="2"/>
      <c r="K436" s="2"/>
      <c r="L436" s="2"/>
      <c r="M436" s="2"/>
      <c r="N436" s="2"/>
      <c r="O436" s="2"/>
      <c r="P436" s="2"/>
      <c r="Q436" s="2"/>
      <c r="R436" s="2"/>
      <c r="S436" s="2"/>
      <c r="T436" s="2"/>
      <c r="U436" s="2"/>
      <c r="V436" s="2"/>
      <c r="W436" s="2"/>
      <c r="X436" s="2"/>
      <c r="Y436" s="2"/>
      <c r="Z436" s="2"/>
    </row>
    <row r="437">
      <c r="A437" s="2" t="str">
        <f>IFERROR(__xludf.DUMMYFUNCTION("""COMPUTED_VALUE"""),"Royal Sword of The Halloween Kingdom")</f>
        <v>Royal Sword of The Halloween Kingdom</v>
      </c>
      <c r="B437" s="2" t="str">
        <f>IFERROR(__xludf.DUMMYFUNCTION("""COMPUTED_VALUE"""),"Halloween Exclusive")</f>
        <v>Halloween Exclusive</v>
      </c>
      <c r="C437" s="2" t="str">
        <f>IFERROR(__xludf.DUMMYFUNCTION("""COMPUTED_VALUE"""),"Sword")</f>
        <v>Sword</v>
      </c>
      <c r="D437" s="2" t="str">
        <f>IFERROR(__xludf.DUMMYFUNCTION("""COMPUTED_VALUE"""),"Hand")</f>
        <v>Hand</v>
      </c>
      <c r="E437" s="2">
        <f>IFERROR(__xludf.DUMMYFUNCTION("""COMPUTED_VALUE"""),200.0)</f>
        <v>200</v>
      </c>
      <c r="F437" s="2" t="str">
        <f>IFERROR(__xludf.DUMMYFUNCTION("""COMPUTED_VALUE"""),"DMG: +50000, Fire DMG: +20000, Dark DMG: +20000, Spirit DMG: +20000, Chaos DMG: +20000, Stasis DMG: +20000, Twilight DMG: +20000, Voodoo DMG: +20000, Blood DMG: +20000, Celestial DMG: +20000 ++Hallows Guidance: +5 can be added to your d20 rolls, ++Royal S"&amp;"hadows of the Halloween Kingdom: 25% chance to cast conceal for no sp cost after successfully attacking an enemy with this weapon. +-Cannot be forged +-Cannot be duplicated")</f>
        <v>DMG: +50000, Fire DMG: +20000, Dark DMG: +20000, Spirit DMG: +20000, Chaos DMG: +20000, Stasis DMG: +20000, Twilight DMG: +20000, Voodoo DMG: +20000, Blood DMG: +20000, Celestial DMG: +20000 ++Hallows Guidance: +5 can be added to your d20 rolls, ++Royal Shadows of the Halloween Kingdom: 25% chance to cast conceal for no sp cost after successfully attacking an enemy with this weapon. +-Cannot be forged +-Cannot be duplicated</v>
      </c>
      <c r="G437" s="2">
        <f>IFERROR(__xludf.DUMMYFUNCTION("""COMPUTED_VALUE"""),1.0557E9)</f>
        <v>1055700000</v>
      </c>
      <c r="H437" s="2"/>
      <c r="I437" s="2"/>
      <c r="J437" s="2"/>
      <c r="K437" s="2"/>
      <c r="L437" s="2"/>
      <c r="M437" s="2"/>
      <c r="N437" s="2"/>
      <c r="O437" s="2"/>
      <c r="P437" s="2"/>
      <c r="Q437" s="2"/>
      <c r="R437" s="2"/>
      <c r="S437" s="2"/>
      <c r="T437" s="2"/>
      <c r="U437" s="2"/>
      <c r="V437" s="2"/>
      <c r="W437" s="2"/>
      <c r="X437" s="2"/>
      <c r="Y437" s="2"/>
      <c r="Z437" s="2"/>
    </row>
    <row r="438">
      <c r="A438" s="2" t="str">
        <f>IFERROR(__xludf.DUMMYFUNCTION("""COMPUTED_VALUE"""),"Royal Shield of The Halloween Kingdom")</f>
        <v>Royal Shield of The Halloween Kingdom</v>
      </c>
      <c r="B438" s="2" t="str">
        <f>IFERROR(__xludf.DUMMYFUNCTION("""COMPUTED_VALUE"""),"Halloween Exclusive")</f>
        <v>Halloween Exclusive</v>
      </c>
      <c r="C438" s="2" t="str">
        <f>IFERROR(__xludf.DUMMYFUNCTION("""COMPUTED_VALUE"""),"Towershield")</f>
        <v>Towershield</v>
      </c>
      <c r="D438" s="2" t="str">
        <f>IFERROR(__xludf.DUMMYFUNCTION("""COMPUTED_VALUE"""),"Hand")</f>
        <v>Hand</v>
      </c>
      <c r="E438" s="2">
        <f>IFERROR(__xludf.DUMMYFUNCTION("""COMPUTED_VALUE"""),200.0)</f>
        <v>200</v>
      </c>
      <c r="F438" s="2" t="str">
        <f>IFERROR(__xludf.DUMMYFUNCTION("""COMPUTED_VALUE"""),"DEF: +50000, Fire DEF: +20000, Dark DEF: +20000, Spirit DEF: +20000, Chaos DEF: +20000, Stasis DEF: +20000, Twilight DEF: +20000, Voodoo DEF: +20000, Blood DEF: +20000, Celestial DEF: +20000 ++Royal Ward of The Halloween Kingdom: 25% chance to be unaffect"&amp;"ed by a weapon attack. ++Pumpkin Thorns: 25% chance to inflict half the damage dealt to you back to the enemy. +-Cannot be forged +-Cannot be duplicated")</f>
        <v>DEF: +50000, Fire DEF: +20000, Dark DEF: +20000, Spirit DEF: +20000, Chaos DEF: +20000, Stasis DEF: +20000, Twilight DEF: +20000, Voodoo DEF: +20000, Blood DEF: +20000, Celestial DEF: +20000 ++Royal Ward of The Halloween Kingdom: 25% chance to be unaffected by a weapon attack. ++Pumpkin Thorns: 25% chance to inflict half the damage dealt to you back to the enemy. +-Cannot be forged +-Cannot be duplicated</v>
      </c>
      <c r="G438" s="2">
        <f>IFERROR(__xludf.DUMMYFUNCTION("""COMPUTED_VALUE"""),1.0557E9)</f>
        <v>1055700000</v>
      </c>
      <c r="H438" s="2"/>
      <c r="I438" s="2"/>
      <c r="J438" s="2"/>
      <c r="K438" s="2"/>
      <c r="L438" s="2"/>
      <c r="M438" s="2"/>
      <c r="N438" s="2"/>
      <c r="O438" s="2"/>
      <c r="P438" s="2"/>
      <c r="Q438" s="2"/>
      <c r="R438" s="2"/>
      <c r="S438" s="2"/>
      <c r="T438" s="2"/>
      <c r="U438" s="2"/>
      <c r="V438" s="2"/>
      <c r="W438" s="2"/>
      <c r="X438" s="2"/>
      <c r="Y438" s="2"/>
      <c r="Z438" s="2"/>
    </row>
    <row r="439">
      <c r="A439" s="2" t="str">
        <f>IFERROR(__xludf.DUMMYFUNCTION("""COMPUTED_VALUE"""),"Sacred Flaming Pearl")</f>
        <v>Sacred Flaming Pearl</v>
      </c>
      <c r="B439" s="2" t="str">
        <f>IFERROR(__xludf.DUMMYFUNCTION("""COMPUTED_VALUE"""),"Quest item.")</f>
        <v>Quest item.</v>
      </c>
      <c r="C439" s="2"/>
      <c r="D439" s="2" t="str">
        <f>IFERROR(__xludf.DUMMYFUNCTION("""COMPUTED_VALUE"""),"Hand")</f>
        <v>Hand</v>
      </c>
      <c r="E439" s="2">
        <f>IFERROR(__xludf.DUMMYFUNCTION("""COMPUTED_VALUE"""),1.0)</f>
        <v>1</v>
      </c>
      <c r="F439" s="2" t="str">
        <f>IFERROR(__xludf.DUMMYFUNCTION("""COMPUTED_VALUE""")," ++X4 additional fire damage for the user. +-Cannot be duplicated.")</f>
        <v> ++X4 additional fire damage for the user. +-Cannot be duplicated.</v>
      </c>
      <c r="G439" s="2">
        <f>IFERROR(__xludf.DUMMYFUNCTION("""COMPUTED_VALUE"""),0.0)</f>
        <v>0</v>
      </c>
      <c r="H439" s="2"/>
      <c r="I439" s="2"/>
      <c r="J439" s="2"/>
      <c r="K439" s="2"/>
      <c r="L439" s="2"/>
      <c r="M439" s="2"/>
      <c r="N439" s="2"/>
      <c r="O439" s="2"/>
      <c r="P439" s="2"/>
      <c r="Q439" s="2"/>
      <c r="R439" s="2"/>
      <c r="S439" s="2"/>
      <c r="T439" s="2"/>
      <c r="U439" s="2"/>
      <c r="V439" s="2"/>
      <c r="W439" s="2"/>
      <c r="X439" s="2"/>
      <c r="Y439" s="2"/>
      <c r="Z439" s="2"/>
    </row>
    <row r="440">
      <c r="A440" s="2" t="str">
        <f>IFERROR(__xludf.DUMMYFUNCTION("""COMPUTED_VALUE"""),"DragonScale Royal Helm")</f>
        <v>DragonScale Royal Helm</v>
      </c>
      <c r="B440" s="2"/>
      <c r="C440" s="2"/>
      <c r="D440" s="2" t="str">
        <f>IFERROR(__xludf.DUMMYFUNCTION("""COMPUTED_VALUE"""),"Head")</f>
        <v>Head</v>
      </c>
      <c r="E440" s="2">
        <f>IFERROR(__xludf.DUMMYFUNCTION("""COMPUTED_VALUE"""),200.0)</f>
        <v>200</v>
      </c>
      <c r="F440" s="2" t="str">
        <f>IFERROR(__xludf.DUMMYFUNCTION("""COMPUTED_VALUE"""),"DEF: +40000, Dark DEF: +10000, Chaos DEF: +10000, Celestial DEF: +10000 ++X2 Defense for the Wearer. ++Light Embodiment - When Equipped deal X2 Order and Light DMG ")</f>
        <v>DEF: +40000, Dark DEF: +10000, Chaos DEF: +10000, Celestial DEF: +10000 ++X2 Defense for the Wearer. ++Light Embodiment - When Equipped deal X2 Order and Light DMG </v>
      </c>
      <c r="G440" s="2">
        <f>IFERROR(__xludf.DUMMYFUNCTION("""COMPUTED_VALUE"""),9.73E7)</f>
        <v>97300000</v>
      </c>
      <c r="H440" s="2"/>
      <c r="I440" s="2"/>
      <c r="J440" s="2"/>
      <c r="K440" s="2"/>
      <c r="L440" s="2"/>
      <c r="M440" s="2"/>
      <c r="N440" s="2"/>
      <c r="O440" s="2"/>
      <c r="P440" s="2"/>
      <c r="Q440" s="2"/>
      <c r="R440" s="2"/>
      <c r="S440" s="2"/>
      <c r="T440" s="2"/>
      <c r="U440" s="2"/>
      <c r="V440" s="2"/>
      <c r="W440" s="2"/>
      <c r="X440" s="2"/>
      <c r="Y440" s="2"/>
      <c r="Z440" s="2"/>
    </row>
    <row r="441">
      <c r="A441" s="2" t="str">
        <f>IFERROR(__xludf.DUMMYFUNCTION("""COMPUTED_VALUE"""),"DragonScale Royal Chestplate")</f>
        <v>DragonScale Royal Chestplate</v>
      </c>
      <c r="B441" s="2"/>
      <c r="C441" s="2"/>
      <c r="D441" s="2" t="str">
        <f>IFERROR(__xludf.DUMMYFUNCTION("""COMPUTED_VALUE"""),"Torso")</f>
        <v>Torso</v>
      </c>
      <c r="E441" s="2">
        <f>IFERROR(__xludf.DUMMYFUNCTION("""COMPUTED_VALUE"""),200.0)</f>
        <v>200</v>
      </c>
      <c r="F441" s="2" t="str">
        <f>IFERROR(__xludf.DUMMYFUNCTION("""COMPUTED_VALUE"""),"DEF: +20000, Water DEF: +5000, Dark DEF: +10000, Chaos DEF: +10000, Celestial DEF: +10000 ++X4 Defense for the Wearer. ++Light Embodiment II - When Equipped deal X4 Order and Light DMG ")</f>
        <v>DEF: +20000, Water DEF: +5000, Dark DEF: +10000, Chaos DEF: +10000, Celestial DEF: +10000 ++X4 Defense for the Wearer. ++Light Embodiment II - When Equipped deal X4 Order and Light DMG </v>
      </c>
      <c r="G441" s="2">
        <f>IFERROR(__xludf.DUMMYFUNCTION("""COMPUTED_VALUE"""),5.995E7)</f>
        <v>59950000</v>
      </c>
      <c r="H441" s="2"/>
      <c r="I441" s="2"/>
      <c r="J441" s="2"/>
      <c r="K441" s="2"/>
      <c r="L441" s="2"/>
      <c r="M441" s="2"/>
      <c r="N441" s="2"/>
      <c r="O441" s="2"/>
      <c r="P441" s="2"/>
      <c r="Q441" s="2"/>
      <c r="R441" s="2"/>
      <c r="S441" s="2"/>
      <c r="T441" s="2"/>
      <c r="U441" s="2"/>
      <c r="V441" s="2"/>
      <c r="W441" s="2"/>
      <c r="X441" s="2"/>
      <c r="Y441" s="2"/>
      <c r="Z441" s="2"/>
    </row>
    <row r="442">
      <c r="A442" s="2" t="str">
        <f>IFERROR(__xludf.DUMMYFUNCTION("""COMPUTED_VALUE"""),"DragonScale Royal Vambraces")</f>
        <v>DragonScale Royal Vambraces</v>
      </c>
      <c r="B442" s="2"/>
      <c r="C442" s="2"/>
      <c r="D442" s="2" t="str">
        <f>IFERROR(__xludf.DUMMYFUNCTION("""COMPUTED_VALUE"""),"Arms")</f>
        <v>Arms</v>
      </c>
      <c r="E442" s="2">
        <f>IFERROR(__xludf.DUMMYFUNCTION("""COMPUTED_VALUE"""),200.0)</f>
        <v>200</v>
      </c>
      <c r="F442" s="2" t="str">
        <f>IFERROR(__xludf.DUMMYFUNCTION("""COMPUTED_VALUE"""),"DEF: +10000, Dark DEF: +10000, Chaos DEF: +10000, Celestial DEF: +10000 ++X2 Defense for the Wearer. ++Light Embodiment - When Equipped deal X2 Order and Light DMG ")</f>
        <v>DEF: +10000, Dark DEF: +10000, Chaos DEF: +10000, Celestial DEF: +10000 ++X2 Defense for the Wearer. ++Light Embodiment - When Equipped deal X2 Order and Light DMG </v>
      </c>
      <c r="G442" s="2">
        <f>IFERROR(__xludf.DUMMYFUNCTION("""COMPUTED_VALUE"""),3.16E7)</f>
        <v>31600000</v>
      </c>
      <c r="H442" s="2"/>
      <c r="I442" s="2"/>
      <c r="J442" s="2"/>
      <c r="K442" s="2"/>
      <c r="L442" s="2"/>
      <c r="M442" s="2"/>
      <c r="N442" s="2"/>
      <c r="O442" s="2"/>
      <c r="P442" s="2"/>
      <c r="Q442" s="2"/>
      <c r="R442" s="2"/>
      <c r="S442" s="2"/>
      <c r="T442" s="2"/>
      <c r="U442" s="2"/>
      <c r="V442" s="2"/>
      <c r="W442" s="2"/>
      <c r="X442" s="2"/>
      <c r="Y442" s="2"/>
      <c r="Z442" s="2"/>
    </row>
    <row r="443">
      <c r="A443" s="2" t="str">
        <f>IFERROR(__xludf.DUMMYFUNCTION("""COMPUTED_VALUE"""),"DragonScale Royal Greaves")</f>
        <v>DragonScale Royal Greaves</v>
      </c>
      <c r="B443" s="2"/>
      <c r="C443" s="2"/>
      <c r="D443" s="2" t="str">
        <f>IFERROR(__xludf.DUMMYFUNCTION("""COMPUTED_VALUE"""),"Legs")</f>
        <v>Legs</v>
      </c>
      <c r="E443" s="2">
        <f>IFERROR(__xludf.DUMMYFUNCTION("""COMPUTED_VALUE"""),200.0)</f>
        <v>200</v>
      </c>
      <c r="F443" s="2" t="str">
        <f>IFERROR(__xludf.DUMMYFUNCTION("""COMPUTED_VALUE"""),"DEF: +10000, Dark DEF: +10000, Chaos DEF: +10000, Celestial DEF: +10000 ++X2 Defense for the Wearer. ++Light Embodiment - When Equipped deal X2 Order and Light DMG ")</f>
        <v>DEF: +10000, Dark DEF: +10000, Chaos DEF: +10000, Celestial DEF: +10000 ++X2 Defense for the Wearer. ++Light Embodiment - When Equipped deal X2 Order and Light DMG </v>
      </c>
      <c r="G443" s="2">
        <f>IFERROR(__xludf.DUMMYFUNCTION("""COMPUTED_VALUE"""),3.16E7)</f>
        <v>31600000</v>
      </c>
      <c r="H443" s="2"/>
      <c r="I443" s="2"/>
      <c r="J443" s="2"/>
      <c r="K443" s="2"/>
      <c r="L443" s="2"/>
      <c r="M443" s="2"/>
      <c r="N443" s="2"/>
      <c r="O443" s="2"/>
      <c r="P443" s="2"/>
      <c r="Q443" s="2"/>
      <c r="R443" s="2"/>
      <c r="S443" s="2"/>
      <c r="T443" s="2"/>
      <c r="U443" s="2"/>
      <c r="V443" s="2"/>
      <c r="W443" s="2"/>
      <c r="X443" s="2"/>
      <c r="Y443" s="2"/>
      <c r="Z443" s="2"/>
    </row>
    <row r="444">
      <c r="A444" s="2" t="str">
        <f>IFERROR(__xludf.DUMMYFUNCTION("""COMPUTED_VALUE"""),"DragonScale Royal Shield")</f>
        <v>DragonScale Royal Shield</v>
      </c>
      <c r="B444" s="2"/>
      <c r="C444" s="2" t="str">
        <f>IFERROR(__xludf.DUMMYFUNCTION("""COMPUTED_VALUE"""),"Towershield")</f>
        <v>Towershield</v>
      </c>
      <c r="D444" s="2" t="str">
        <f>IFERROR(__xludf.DUMMYFUNCTION("""COMPUTED_VALUE"""),"Hand")</f>
        <v>Hand</v>
      </c>
      <c r="E444" s="2">
        <f>IFERROR(__xludf.DUMMYFUNCTION("""COMPUTED_VALUE"""),200.0)</f>
        <v>200</v>
      </c>
      <c r="F444" s="2" t="str">
        <f>IFERROR(__xludf.DUMMYFUNCTION("""COMPUTED_VALUE"""),"DEF: +55000, Dark DEF: +20000, Chaos DEF: +20000, Celestial DEF: +10000 ++X2 Defense for the Wearer. ++Light Embodiment - When Equipped deal X2 Order and Light DMG ")</f>
        <v>DEF: +55000, Dark DEF: +20000, Chaos DEF: +20000, Celestial DEF: +10000 ++X2 Defense for the Wearer. ++Light Embodiment - When Equipped deal X2 Order and Light DMG </v>
      </c>
      <c r="G444" s="2">
        <f>IFERROR(__xludf.DUMMYFUNCTION("""COMPUTED_VALUE"""),2.1945E8)</f>
        <v>219450000</v>
      </c>
      <c r="H444" s="2"/>
      <c r="I444" s="2"/>
      <c r="J444" s="2"/>
      <c r="K444" s="2"/>
      <c r="L444" s="2"/>
      <c r="M444" s="2"/>
      <c r="N444" s="2"/>
      <c r="O444" s="2"/>
      <c r="P444" s="2"/>
      <c r="Q444" s="2"/>
      <c r="R444" s="2"/>
      <c r="S444" s="2"/>
      <c r="T444" s="2"/>
      <c r="U444" s="2"/>
      <c r="V444" s="2"/>
      <c r="W444" s="2"/>
      <c r="X444" s="2"/>
      <c r="Y444" s="2"/>
      <c r="Z444" s="2"/>
    </row>
    <row r="445">
      <c r="A445" s="2" t="str">
        <f>IFERROR(__xludf.DUMMYFUNCTION("""COMPUTED_VALUE"""),"DragonScale Royal Boots")</f>
        <v>DragonScale Royal Boots</v>
      </c>
      <c r="B445" s="2"/>
      <c r="C445" s="2"/>
      <c r="D445" s="2" t="str">
        <f>IFERROR(__xludf.DUMMYFUNCTION("""COMPUTED_VALUE"""),"Feet")</f>
        <v>Feet</v>
      </c>
      <c r="E445" s="2">
        <f>IFERROR(__xludf.DUMMYFUNCTION("""COMPUTED_VALUE"""),200.0)</f>
        <v>200</v>
      </c>
      <c r="F445" s="2" t="str">
        <f>IFERROR(__xludf.DUMMYFUNCTION("""COMPUTED_VALUE"""),"DEF: +22000, Dark DEF: +10000, Chaos DEF: +10000, Celestial DEF: +10000 ++X2 Defense for the Wearer. ++Light Embodiment - When Equipped deal X2 Order and Light DMG ")</f>
        <v>DEF: +22000, Dark DEF: +10000, Chaos DEF: +10000, Celestial DEF: +10000 ++X2 Defense for the Wearer. ++Light Embodiment - When Equipped deal X2 Order and Light DMG </v>
      </c>
      <c r="G445" s="2">
        <f>IFERROR(__xludf.DUMMYFUNCTION("""COMPUTED_VALUE"""),5.356E7)</f>
        <v>53560000</v>
      </c>
      <c r="H445" s="2"/>
      <c r="I445" s="2"/>
      <c r="J445" s="2"/>
      <c r="K445" s="2"/>
      <c r="L445" s="2"/>
      <c r="M445" s="2"/>
      <c r="N445" s="2"/>
      <c r="O445" s="2"/>
      <c r="P445" s="2"/>
      <c r="Q445" s="2"/>
      <c r="R445" s="2"/>
      <c r="S445" s="2"/>
      <c r="T445" s="2"/>
      <c r="U445" s="2"/>
      <c r="V445" s="2"/>
      <c r="W445" s="2"/>
      <c r="X445" s="2"/>
      <c r="Y445" s="2"/>
      <c r="Z445" s="2"/>
    </row>
    <row r="446">
      <c r="A446" s="2" t="str">
        <f>IFERROR(__xludf.DUMMYFUNCTION("""COMPUTED_VALUE"""),"DragonScale Royal Pauldrons")</f>
        <v>DragonScale Royal Pauldrons</v>
      </c>
      <c r="B446" s="2"/>
      <c r="C446" s="2"/>
      <c r="D446" s="2" t="str">
        <f>IFERROR(__xludf.DUMMYFUNCTION("""COMPUTED_VALUE"""),"Shoulders")</f>
        <v>Shoulders</v>
      </c>
      <c r="E446" s="2">
        <f>IFERROR(__xludf.DUMMYFUNCTION("""COMPUTED_VALUE"""),200.0)</f>
        <v>200</v>
      </c>
      <c r="F446" s="2" t="str">
        <f>IFERROR(__xludf.DUMMYFUNCTION("""COMPUTED_VALUE"""),"DEF: +20000, Dark DEF: +10000, Chaos DEF: +10000, Celestial DEF: +10000 ++X2 Defense for the Wearer. ++Light Embodiment - When Equipped deal X2 Order and Light DMG ")</f>
        <v>DEF: +20000, Dark DEF: +10000, Chaos DEF: +10000, Celestial DEF: +10000 ++X2 Defense for the Wearer. ++Light Embodiment - When Equipped deal X2 Order and Light DMG </v>
      </c>
      <c r="G446" s="2">
        <f>IFERROR(__xludf.DUMMYFUNCTION("""COMPUTED_VALUE"""),4.95E7)</f>
        <v>49500000</v>
      </c>
      <c r="H446" s="2"/>
      <c r="I446" s="2"/>
      <c r="J446" s="2"/>
      <c r="K446" s="2"/>
      <c r="L446" s="2"/>
      <c r="M446" s="2"/>
      <c r="N446" s="2"/>
      <c r="O446" s="2"/>
      <c r="P446" s="2"/>
      <c r="Q446" s="2"/>
      <c r="R446" s="2"/>
      <c r="S446" s="2"/>
      <c r="T446" s="2"/>
      <c r="U446" s="2"/>
      <c r="V446" s="2"/>
      <c r="W446" s="2"/>
      <c r="X446" s="2"/>
      <c r="Y446" s="2"/>
      <c r="Z446" s="2"/>
    </row>
    <row r="447">
      <c r="A447" s="2" t="str">
        <f>IFERROR(__xludf.DUMMYFUNCTION("""COMPUTED_VALUE"""),"BLADE! OF! JUSTICE!!!!")</f>
        <v>BLADE! OF! JUSTICE!!!!</v>
      </c>
      <c r="B447" s="2"/>
      <c r="C447" s="2" t="str">
        <f>IFERROR(__xludf.DUMMYFUNCTION("""COMPUTED_VALUE"""),"Sword")</f>
        <v>Sword</v>
      </c>
      <c r="D447" s="2" t="str">
        <f>IFERROR(__xludf.DUMMYFUNCTION("""COMPUTED_VALUE"""),"Hand")</f>
        <v>Hand</v>
      </c>
      <c r="E447" s="2">
        <f>IFERROR(__xludf.DUMMYFUNCTION("""COMPUTED_VALUE"""),200.0)</f>
        <v>200</v>
      </c>
      <c r="F447" s="2" t="str">
        <f>IFERROR(__xludf.DUMMYFUNCTION("""COMPUTED_VALUE"""),"DMG: +100000, Light DMG: +10000, Order DMG: +10000, Celestial DMG: +10000 ++This Weapon will deal X4 damage while equipped against Criminals. ++Light Embodiment II - When Equipped deal X4 Order and Light DMG ")</f>
        <v>DMG: +100000, Light DMG: +10000, Order DMG: +10000, Celestial DMG: +10000 ++This Weapon will deal X4 damage while equipped against Criminals. ++Light Embodiment II - When Equipped deal X4 Order and Light DMG </v>
      </c>
      <c r="G447" s="2">
        <f>IFERROR(__xludf.DUMMYFUNCTION("""COMPUTED_VALUE"""),3.367E8)</f>
        <v>336700000</v>
      </c>
      <c r="H447" s="2"/>
      <c r="I447" s="2"/>
      <c r="J447" s="2"/>
      <c r="K447" s="2"/>
      <c r="L447" s="2"/>
      <c r="M447" s="2"/>
      <c r="N447" s="2"/>
      <c r="O447" s="2"/>
      <c r="P447" s="2"/>
      <c r="Q447" s="2"/>
      <c r="R447" s="2"/>
      <c r="S447" s="2"/>
      <c r="T447" s="2"/>
      <c r="U447" s="2"/>
      <c r="V447" s="2"/>
      <c r="W447" s="2"/>
      <c r="X447" s="2"/>
      <c r="Y447" s="2"/>
      <c r="Z447" s="2"/>
    </row>
    <row r="448">
      <c r="A448" s="2" t="str">
        <f>IFERROR(__xludf.DUMMYFUNCTION("""COMPUTED_VALUE"""),"Abstara Royal Helm")</f>
        <v>Abstara Royal Helm</v>
      </c>
      <c r="B448" s="2"/>
      <c r="C448" s="2"/>
      <c r="D448" s="2" t="str">
        <f>IFERROR(__xludf.DUMMYFUNCTION("""COMPUTED_VALUE"""),"Head")</f>
        <v>Head</v>
      </c>
      <c r="E448" s="2">
        <f>IFERROR(__xludf.DUMMYFUNCTION("""COMPUTED_VALUE"""),200.0)</f>
        <v>200</v>
      </c>
      <c r="F448" s="2" t="str">
        <f>IFERROR(__xludf.DUMMYFUNCTION("""COMPUTED_VALUE"""),"DEF: +50000, Celestial DEF: +50000 ++X4 Defense for the Wearer. ++Underworldly Embodiment - When Equipped deal X4 Dark, Chaos, Fire, and Celestial DMG ")</f>
        <v>DEF: +50000, Celestial DEF: +50000 ++X4 Defense for the Wearer. ++Underworldly Embodiment - When Equipped deal X4 Dark, Chaos, Fire, and Celestial DMG </v>
      </c>
      <c r="G448" s="2">
        <f>IFERROR(__xludf.DUMMYFUNCTION("""COMPUTED_VALUE"""),1.99E8)</f>
        <v>199000000</v>
      </c>
      <c r="H448" s="2"/>
      <c r="I448" s="2"/>
      <c r="J448" s="2"/>
      <c r="K448" s="2"/>
      <c r="L448" s="2"/>
      <c r="M448" s="2"/>
      <c r="N448" s="2"/>
      <c r="O448" s="2"/>
      <c r="P448" s="2"/>
      <c r="Q448" s="2"/>
      <c r="R448" s="2"/>
      <c r="S448" s="2"/>
      <c r="T448" s="2"/>
      <c r="U448" s="2"/>
      <c r="V448" s="2"/>
      <c r="W448" s="2"/>
      <c r="X448" s="2"/>
      <c r="Y448" s="2"/>
      <c r="Z448" s="2"/>
    </row>
    <row r="449">
      <c r="A449" s="2" t="str">
        <f>IFERROR(__xludf.DUMMYFUNCTION("""COMPUTED_VALUE"""),"Abstara Royal Chestplate")</f>
        <v>Abstara Royal Chestplate</v>
      </c>
      <c r="B449" s="2"/>
      <c r="C449" s="2"/>
      <c r="D449" s="2" t="str">
        <f>IFERROR(__xludf.DUMMYFUNCTION("""COMPUTED_VALUE"""),"Torso")</f>
        <v>Torso</v>
      </c>
      <c r="E449" s="2">
        <f>IFERROR(__xludf.DUMMYFUNCTION("""COMPUTED_VALUE"""),200.0)</f>
        <v>200</v>
      </c>
      <c r="F449" s="2" t="str">
        <f>IFERROR(__xludf.DUMMYFUNCTION("""COMPUTED_VALUE"""),"DEF: +50000, Celestial DEF: +50000 ++X4 Defense for the Wearer. ++Underworldly Embodiment - When Equipped deal X4 Dark, Chaos, Fire, and Celestial DMG ")</f>
        <v>DEF: +50000, Celestial DEF: +50000 ++X4 Defense for the Wearer. ++Underworldly Embodiment - When Equipped deal X4 Dark, Chaos, Fire, and Celestial DMG </v>
      </c>
      <c r="G449" s="2">
        <f>IFERROR(__xludf.DUMMYFUNCTION("""COMPUTED_VALUE"""),1.99E8)</f>
        <v>199000000</v>
      </c>
      <c r="H449" s="2"/>
      <c r="I449" s="2"/>
      <c r="J449" s="2"/>
      <c r="K449" s="2"/>
      <c r="L449" s="2"/>
      <c r="M449" s="2"/>
      <c r="N449" s="2"/>
      <c r="O449" s="2"/>
      <c r="P449" s="2"/>
      <c r="Q449" s="2"/>
      <c r="R449" s="2"/>
      <c r="S449" s="2"/>
      <c r="T449" s="2"/>
      <c r="U449" s="2"/>
      <c r="V449" s="2"/>
      <c r="W449" s="2"/>
      <c r="X449" s="2"/>
      <c r="Y449" s="2"/>
      <c r="Z449" s="2"/>
    </row>
    <row r="450">
      <c r="A450" s="2" t="str">
        <f>IFERROR(__xludf.DUMMYFUNCTION("""COMPUTED_VALUE"""),"Abstara Royal Vambraces")</f>
        <v>Abstara Royal Vambraces</v>
      </c>
      <c r="B450" s="2"/>
      <c r="C450" s="2"/>
      <c r="D450" s="2" t="str">
        <f>IFERROR(__xludf.DUMMYFUNCTION("""COMPUTED_VALUE"""),"Arms")</f>
        <v>Arms</v>
      </c>
      <c r="E450" s="2">
        <f>IFERROR(__xludf.DUMMYFUNCTION("""COMPUTED_VALUE"""),200.0)</f>
        <v>200</v>
      </c>
      <c r="F450" s="2" t="str">
        <f>IFERROR(__xludf.DUMMYFUNCTION("""COMPUTED_VALUE"""),"DEF: +50000, Celestial DEF: +50000 ++X4 Defense for the Wearer. ++Underworldly Embodiment - When Equipped deal X4 Dark, Chaos, Fire, and Celestial DMG ")</f>
        <v>DEF: +50000, Celestial DEF: +50000 ++X4 Defense for the Wearer. ++Underworldly Embodiment - When Equipped deal X4 Dark, Chaos, Fire, and Celestial DMG </v>
      </c>
      <c r="G450" s="2">
        <f>IFERROR(__xludf.DUMMYFUNCTION("""COMPUTED_VALUE"""),1.99E8)</f>
        <v>199000000</v>
      </c>
      <c r="H450" s="2"/>
      <c r="I450" s="2"/>
      <c r="J450" s="2"/>
      <c r="K450" s="2"/>
      <c r="L450" s="2"/>
      <c r="M450" s="2"/>
      <c r="N450" s="2"/>
      <c r="O450" s="2"/>
      <c r="P450" s="2"/>
      <c r="Q450" s="2"/>
      <c r="R450" s="2"/>
      <c r="S450" s="2"/>
      <c r="T450" s="2"/>
      <c r="U450" s="2"/>
      <c r="V450" s="2"/>
      <c r="W450" s="2"/>
      <c r="X450" s="2"/>
      <c r="Y450" s="2"/>
      <c r="Z450" s="2"/>
    </row>
    <row r="451">
      <c r="A451" s="2" t="str">
        <f>IFERROR(__xludf.DUMMYFUNCTION("""COMPUTED_VALUE"""),"Abstara Royal Greaves")</f>
        <v>Abstara Royal Greaves</v>
      </c>
      <c r="B451" s="2"/>
      <c r="C451" s="2"/>
      <c r="D451" s="2" t="str">
        <f>IFERROR(__xludf.DUMMYFUNCTION("""COMPUTED_VALUE"""),"Legs")</f>
        <v>Legs</v>
      </c>
      <c r="E451" s="2">
        <f>IFERROR(__xludf.DUMMYFUNCTION("""COMPUTED_VALUE"""),200.0)</f>
        <v>200</v>
      </c>
      <c r="F451" s="2" t="str">
        <f>IFERROR(__xludf.DUMMYFUNCTION("""COMPUTED_VALUE"""),"DEF: +50000, Celestial DEF: +50000 ++X4 Defense for the Wearer. ++Underworldly Embodiment - When Equipped deal X4 Dark, Chaos, Fire, and Celestial DMG ")</f>
        <v>DEF: +50000, Celestial DEF: +50000 ++X4 Defense for the Wearer. ++Underworldly Embodiment - When Equipped deal X4 Dark, Chaos, Fire, and Celestial DMG </v>
      </c>
      <c r="G451" s="2">
        <f>IFERROR(__xludf.DUMMYFUNCTION("""COMPUTED_VALUE"""),1.99E8)</f>
        <v>199000000</v>
      </c>
      <c r="H451" s="2"/>
      <c r="I451" s="2"/>
      <c r="J451" s="2"/>
      <c r="K451" s="2"/>
      <c r="L451" s="2"/>
      <c r="M451" s="2"/>
      <c r="N451" s="2"/>
      <c r="O451" s="2"/>
      <c r="P451" s="2"/>
      <c r="Q451" s="2"/>
      <c r="R451" s="2"/>
      <c r="S451" s="2"/>
      <c r="T451" s="2"/>
      <c r="U451" s="2"/>
      <c r="V451" s="2"/>
      <c r="W451" s="2"/>
      <c r="X451" s="2"/>
      <c r="Y451" s="2"/>
      <c r="Z451" s="2"/>
    </row>
    <row r="452">
      <c r="A452" s="2" t="str">
        <f>IFERROR(__xludf.DUMMYFUNCTION("""COMPUTED_VALUE"""),"Abstara Royal Shield")</f>
        <v>Abstara Royal Shield</v>
      </c>
      <c r="B452" s="2"/>
      <c r="C452" s="2" t="str">
        <f>IFERROR(__xludf.DUMMYFUNCTION("""COMPUTED_VALUE"""),"Towershield")</f>
        <v>Towershield</v>
      </c>
      <c r="D452" s="2" t="str">
        <f>IFERROR(__xludf.DUMMYFUNCTION("""COMPUTED_VALUE"""),"Hand")</f>
        <v>Hand</v>
      </c>
      <c r="E452" s="2">
        <f>IFERROR(__xludf.DUMMYFUNCTION("""COMPUTED_VALUE"""),200.0)</f>
        <v>200</v>
      </c>
      <c r="F452" s="2" t="str">
        <f>IFERROR(__xludf.DUMMYFUNCTION("""COMPUTED_VALUE"""),"DEF: +50000, Celestial DEF: +50000 ++X4 Defense for the Wearer. ++Underworldly Embodiment - When Equipped deal X4 Dark, Chaos, Fire, and Celestial DMG ")</f>
        <v>DEF: +50000, Celestial DEF: +50000 ++X4 Defense for the Wearer. ++Underworldly Embodiment - When Equipped deal X4 Dark, Chaos, Fire, and Celestial DMG </v>
      </c>
      <c r="G452" s="2">
        <f>IFERROR(__xludf.DUMMYFUNCTION("""COMPUTED_VALUE"""),1.99E8)</f>
        <v>199000000</v>
      </c>
      <c r="H452" s="2"/>
      <c r="I452" s="2"/>
      <c r="J452" s="2"/>
      <c r="K452" s="2"/>
      <c r="L452" s="2"/>
      <c r="M452" s="2"/>
      <c r="N452" s="2"/>
      <c r="O452" s="2"/>
      <c r="P452" s="2"/>
      <c r="Q452" s="2"/>
      <c r="R452" s="2"/>
      <c r="S452" s="2"/>
      <c r="T452" s="2"/>
      <c r="U452" s="2"/>
      <c r="V452" s="2"/>
      <c r="W452" s="2"/>
      <c r="X452" s="2"/>
      <c r="Y452" s="2"/>
      <c r="Z452" s="2"/>
    </row>
    <row r="453">
      <c r="A453" s="2" t="str">
        <f>IFERROR(__xludf.DUMMYFUNCTION("""COMPUTED_VALUE"""),"Abstara Royal Boots")</f>
        <v>Abstara Royal Boots</v>
      </c>
      <c r="B453" s="2"/>
      <c r="C453" s="2"/>
      <c r="D453" s="2" t="str">
        <f>IFERROR(__xludf.DUMMYFUNCTION("""COMPUTED_VALUE"""),"Feet")</f>
        <v>Feet</v>
      </c>
      <c r="E453" s="2">
        <f>IFERROR(__xludf.DUMMYFUNCTION("""COMPUTED_VALUE"""),200.0)</f>
        <v>200</v>
      </c>
      <c r="F453" s="2" t="str">
        <f>IFERROR(__xludf.DUMMYFUNCTION("""COMPUTED_VALUE"""),"DEF: +50000, Celestial DEF: +50000 ++X4 Defense for the Wearer. ++Underworldly Embodiment - When Equipped deal X4 Dark, Chaos, Fire, and Celestial DMG ")</f>
        <v>DEF: +50000, Celestial DEF: +50000 ++X4 Defense for the Wearer. ++Underworldly Embodiment - When Equipped deal X4 Dark, Chaos, Fire, and Celestial DMG </v>
      </c>
      <c r="G453" s="2">
        <f>IFERROR(__xludf.DUMMYFUNCTION("""COMPUTED_VALUE"""),1.99E8)</f>
        <v>199000000</v>
      </c>
      <c r="H453" s="2"/>
      <c r="I453" s="2"/>
      <c r="J453" s="2"/>
      <c r="K453" s="2"/>
      <c r="L453" s="2"/>
      <c r="M453" s="2"/>
      <c r="N453" s="2"/>
      <c r="O453" s="2"/>
      <c r="P453" s="2"/>
      <c r="Q453" s="2"/>
      <c r="R453" s="2"/>
      <c r="S453" s="2"/>
      <c r="T453" s="2"/>
      <c r="U453" s="2"/>
      <c r="V453" s="2"/>
      <c r="W453" s="2"/>
      <c r="X453" s="2"/>
      <c r="Y453" s="2"/>
      <c r="Z453" s="2"/>
    </row>
    <row r="454">
      <c r="A454" s="2" t="str">
        <f>IFERROR(__xludf.DUMMYFUNCTION("""COMPUTED_VALUE"""),"Abstara Royal Pauldrons")</f>
        <v>Abstara Royal Pauldrons</v>
      </c>
      <c r="B454" s="2"/>
      <c r="C454" s="2"/>
      <c r="D454" s="2" t="str">
        <f>IFERROR(__xludf.DUMMYFUNCTION("""COMPUTED_VALUE"""),"Shoulders")</f>
        <v>Shoulders</v>
      </c>
      <c r="E454" s="2">
        <f>IFERROR(__xludf.DUMMYFUNCTION("""COMPUTED_VALUE"""),200.0)</f>
        <v>200</v>
      </c>
      <c r="F454" s="2" t="str">
        <f>IFERROR(__xludf.DUMMYFUNCTION("""COMPUTED_VALUE"""),"DEF: +50000, Celestial DEF: +50000 ++X4 Defense for the Wearer. ++Underworldly Embodiment - When Equipped deal X4 Dark, Chaos, Fire, and Celestial DMG ")</f>
        <v>DEF: +50000, Celestial DEF: +50000 ++X4 Defense for the Wearer. ++Underworldly Embodiment - When Equipped deal X4 Dark, Chaos, Fire, and Celestial DMG </v>
      </c>
      <c r="G454" s="2">
        <f>IFERROR(__xludf.DUMMYFUNCTION("""COMPUTED_VALUE"""),1.99E8)</f>
        <v>199000000</v>
      </c>
      <c r="H454" s="2"/>
      <c r="I454" s="2"/>
      <c r="J454" s="2"/>
      <c r="K454" s="2"/>
      <c r="L454" s="2"/>
      <c r="M454" s="2"/>
      <c r="N454" s="2"/>
      <c r="O454" s="2"/>
      <c r="P454" s="2"/>
      <c r="Q454" s="2"/>
      <c r="R454" s="2"/>
      <c r="S454" s="2"/>
      <c r="T454" s="2"/>
      <c r="U454" s="2"/>
      <c r="V454" s="2"/>
      <c r="W454" s="2"/>
      <c r="X454" s="2"/>
      <c r="Y454" s="2"/>
      <c r="Z454" s="2"/>
    </row>
    <row r="455">
      <c r="A455" s="2" t="str">
        <f>IFERROR(__xludf.DUMMYFUNCTION("""COMPUTED_VALUE"""),"Feathered Hat of Roguish ""Justice""")</f>
        <v>Feathered Hat of Roguish "Justice"</v>
      </c>
      <c r="B455" s="2" t="str">
        <f>IFERROR(__xludf.DUMMYFUNCTION("""COMPUTED_VALUE"""),"Quest Item")</f>
        <v>Quest Item</v>
      </c>
      <c r="C455" s="2"/>
      <c r="D455" s="2" t="str">
        <f>IFERROR(__xludf.DUMMYFUNCTION("""COMPUTED_VALUE"""),"Head")</f>
        <v>Head</v>
      </c>
      <c r="E455" s="2">
        <f>IFERROR(__xludf.DUMMYFUNCTION("""COMPUTED_VALUE"""),200.0)</f>
        <v>200</v>
      </c>
      <c r="F455" s="2" t="str">
        <f>IFERROR(__xludf.DUMMYFUNCTION("""COMPUTED_VALUE"""),"DEF: +10000, Light DEF: +10000, Order DEF: +10000, Celestial DEF: +10000 (Roguish Guise Set) ++X2 Money Stolen Via the Sword of Bad Luck. +1 Evasion When Fighting Guards. +-Cannot be duplicated +-Pirate/Marauder Only")</f>
        <v>DEF: +10000, Light DEF: +10000, Order DEF: +10000, Celestial DEF: +10000 (Roguish Guise Set) ++X2 Money Stolen Via the Sword of Bad Luck. +1 Evasion When Fighting Guards. +-Cannot be duplicated +-Pirate/Marauder Only</v>
      </c>
      <c r="G455" s="2">
        <f>IFERROR(__xludf.DUMMYFUNCTION("""COMPUTED_VALUE"""),3.16E7)</f>
        <v>31600000</v>
      </c>
      <c r="H455" s="2"/>
      <c r="I455" s="2"/>
      <c r="J455" s="2"/>
      <c r="K455" s="2"/>
      <c r="L455" s="2"/>
      <c r="M455" s="2"/>
      <c r="N455" s="2"/>
      <c r="O455" s="2"/>
      <c r="P455" s="2"/>
      <c r="Q455" s="2"/>
      <c r="R455" s="2"/>
      <c r="S455" s="2"/>
      <c r="T455" s="2"/>
      <c r="U455" s="2"/>
      <c r="V455" s="2"/>
      <c r="W455" s="2"/>
      <c r="X455" s="2"/>
      <c r="Y455" s="2"/>
      <c r="Z455" s="2"/>
    </row>
    <row r="456">
      <c r="A456" s="2" t="str">
        <f>IFERROR(__xludf.DUMMYFUNCTION("""COMPUTED_VALUE"""),"Cape of Misdeed")</f>
        <v>Cape of Misdeed</v>
      </c>
      <c r="B456" s="2" t="str">
        <f>IFERROR(__xludf.DUMMYFUNCTION("""COMPUTED_VALUE"""),"Quest Item")</f>
        <v>Quest Item</v>
      </c>
      <c r="C456" s="2"/>
      <c r="D456" s="2" t="str">
        <f>IFERROR(__xludf.DUMMYFUNCTION("""COMPUTED_VALUE"""),"Shoulders")</f>
        <v>Shoulders</v>
      </c>
      <c r="E456" s="2">
        <f>IFERROR(__xludf.DUMMYFUNCTION("""COMPUTED_VALUE"""),200.0)</f>
        <v>200</v>
      </c>
      <c r="F456" s="2" t="str">
        <f>IFERROR(__xludf.DUMMYFUNCTION("""COMPUTED_VALUE"""),"DEF: +1000, Light DEF: +10000, Order DEF: +10000, Celestial DEF: +1000 (Roguish Guise Set) ++X2 Money Stolen Via the Sword of Bad Luck. +1 Evasion When Fighting Guards. +-Cannot be duplicated +-Pirate/Marauder Only")</f>
        <v>DEF: +1000, Light DEF: +10000, Order DEF: +10000, Celestial DEF: +1000 (Roguish Guise Set) ++X2 Money Stolen Via the Sword of Bad Luck. +1 Evasion When Fighting Guards. +-Cannot be duplicated +-Pirate/Marauder Only</v>
      </c>
      <c r="G456" s="2">
        <f>IFERROR(__xludf.DUMMYFUNCTION("""COMPUTED_VALUE"""),9460000.0)</f>
        <v>9460000</v>
      </c>
      <c r="H456" s="2"/>
      <c r="I456" s="2"/>
      <c r="J456" s="2"/>
      <c r="K456" s="2"/>
      <c r="L456" s="2"/>
      <c r="M456" s="2"/>
      <c r="N456" s="2"/>
      <c r="O456" s="2"/>
      <c r="P456" s="2"/>
      <c r="Q456" s="2"/>
      <c r="R456" s="2"/>
      <c r="S456" s="2"/>
      <c r="T456" s="2"/>
      <c r="U456" s="2"/>
      <c r="V456" s="2"/>
      <c r="W456" s="2"/>
      <c r="X456" s="2"/>
      <c r="Y456" s="2"/>
      <c r="Z456" s="2"/>
    </row>
    <row r="457">
      <c r="A457" s="2" t="str">
        <f>IFERROR(__xludf.DUMMYFUNCTION("""COMPUTED_VALUE"""),"Doublet of Debauchery")</f>
        <v>Doublet of Debauchery</v>
      </c>
      <c r="B457" s="2" t="str">
        <f>IFERROR(__xludf.DUMMYFUNCTION("""COMPUTED_VALUE"""),"Quest Item")</f>
        <v>Quest Item</v>
      </c>
      <c r="C457" s="2"/>
      <c r="D457" s="2" t="str">
        <f>IFERROR(__xludf.DUMMYFUNCTION("""COMPUTED_VALUE"""),"Torso")</f>
        <v>Torso</v>
      </c>
      <c r="E457" s="2">
        <f>IFERROR(__xludf.DUMMYFUNCTION("""COMPUTED_VALUE"""),200.0)</f>
        <v>200</v>
      </c>
      <c r="F457" s="2" t="str">
        <f>IFERROR(__xludf.DUMMYFUNCTION("""COMPUTED_VALUE"""),"DEF: +20000, Light DEF: +20000, Order DEF: +20000, Celestial DEF: +10000 (Roguish Guise Set) ++X2 Money Stolen Via the Sword of Bad Luck. +1 Evasion When Fighting Guards. +-Cannot be duplicated +-Pirate/Marauder Only")</f>
        <v>DEF: +20000, Light DEF: +20000, Order DEF: +20000, Celestial DEF: +10000 (Roguish Guise Set) ++X2 Money Stolen Via the Sword of Bad Luck. +1 Evasion When Fighting Guards. +-Cannot be duplicated +-Pirate/Marauder Only</v>
      </c>
      <c r="G457" s="2">
        <f>IFERROR(__xludf.DUMMYFUNCTION("""COMPUTED_VALUE"""),9.73E7)</f>
        <v>97300000</v>
      </c>
      <c r="H457" s="2"/>
      <c r="I457" s="2"/>
      <c r="J457" s="2"/>
      <c r="K457" s="2"/>
      <c r="L457" s="2"/>
      <c r="M457" s="2"/>
      <c r="N457" s="2"/>
      <c r="O457" s="2"/>
      <c r="P457" s="2"/>
      <c r="Q457" s="2"/>
      <c r="R457" s="2"/>
      <c r="S457" s="2"/>
      <c r="T457" s="2"/>
      <c r="U457" s="2"/>
      <c r="V457" s="2"/>
      <c r="W457" s="2"/>
      <c r="X457" s="2"/>
      <c r="Y457" s="2"/>
      <c r="Z457" s="2"/>
    </row>
    <row r="458">
      <c r="A458" s="2" t="str">
        <f>IFERROR(__xludf.DUMMYFUNCTION("""COMPUTED_VALUE"""),"Leather Boots of Softstep")</f>
        <v>Leather Boots of Softstep</v>
      </c>
      <c r="B458" s="2" t="str">
        <f>IFERROR(__xludf.DUMMYFUNCTION("""COMPUTED_VALUE"""),"Quest Item")</f>
        <v>Quest Item</v>
      </c>
      <c r="C458" s="2"/>
      <c r="D458" s="2" t="str">
        <f>IFERROR(__xludf.DUMMYFUNCTION("""COMPUTED_VALUE"""),"Feet")</f>
        <v>Feet</v>
      </c>
      <c r="E458" s="2">
        <f>IFERROR(__xludf.DUMMYFUNCTION("""COMPUTED_VALUE"""),200.0)</f>
        <v>200</v>
      </c>
      <c r="F458" s="2" t="str">
        <f>IFERROR(__xludf.DUMMYFUNCTION("""COMPUTED_VALUE"""),"DEF: +10000, Light DEF: +10000, Order DEF: +10000, Celestial DEF: +10000 (Roguish Guise Set) ++X2 Money Stolen Via the Sword of Bad Luck. +1 Evasion When Fighting Guards. +-Cannot be duplicated +-Pirate/Marauder Only")</f>
        <v>DEF: +10000, Light DEF: +10000, Order DEF: +10000, Celestial DEF: +10000 (Roguish Guise Set) ++X2 Money Stolen Via the Sword of Bad Luck. +1 Evasion When Fighting Guards. +-Cannot be duplicated +-Pirate/Marauder Only</v>
      </c>
      <c r="G458" s="2">
        <f>IFERROR(__xludf.DUMMYFUNCTION("""COMPUTED_VALUE"""),3.16E7)</f>
        <v>31600000</v>
      </c>
      <c r="H458" s="2"/>
      <c r="I458" s="2"/>
      <c r="J458" s="2"/>
      <c r="K458" s="2"/>
      <c r="L458" s="2"/>
      <c r="M458" s="2"/>
      <c r="N458" s="2"/>
      <c r="O458" s="2"/>
      <c r="P458" s="2"/>
      <c r="Q458" s="2"/>
      <c r="R458" s="2"/>
      <c r="S458" s="2"/>
      <c r="T458" s="2"/>
      <c r="U458" s="2"/>
      <c r="V458" s="2"/>
      <c r="W458" s="2"/>
      <c r="X458" s="2"/>
      <c r="Y458" s="2"/>
      <c r="Z458" s="2"/>
    </row>
    <row r="459">
      <c r="A459" s="2" t="str">
        <f>IFERROR(__xludf.DUMMYFUNCTION("""COMPUTED_VALUE"""),"Tights of Fabulous Thievery")</f>
        <v>Tights of Fabulous Thievery</v>
      </c>
      <c r="B459" s="2" t="str">
        <f>IFERROR(__xludf.DUMMYFUNCTION("""COMPUTED_VALUE"""),"Quest Item")</f>
        <v>Quest Item</v>
      </c>
      <c r="C459" s="2"/>
      <c r="D459" s="2" t="str">
        <f>IFERROR(__xludf.DUMMYFUNCTION("""COMPUTED_VALUE"""),"Legs")</f>
        <v>Legs</v>
      </c>
      <c r="E459" s="2">
        <f>IFERROR(__xludf.DUMMYFUNCTION("""COMPUTED_VALUE"""),200.0)</f>
        <v>200</v>
      </c>
      <c r="F459" s="2" t="str">
        <f>IFERROR(__xludf.DUMMYFUNCTION("""COMPUTED_VALUE"""),"DEF: +10000, Light DEF: +10000, Order DEF: +10000, Celestial DEF: +10000 (Roguish Guise Set) ++X2 Money Stolen Via the Sword of Bad Luck. +1 Evasion When Fighting Guards. +-Cannot be duplicated +-Pirate/Marauder Only")</f>
        <v>DEF: +10000, Light DEF: +10000, Order DEF: +10000, Celestial DEF: +10000 (Roguish Guise Set) ++X2 Money Stolen Via the Sword of Bad Luck. +1 Evasion When Fighting Guards. +-Cannot be duplicated +-Pirate/Marauder Only</v>
      </c>
      <c r="G459" s="2">
        <f>IFERROR(__xludf.DUMMYFUNCTION("""COMPUTED_VALUE"""),3.16E7)</f>
        <v>31600000</v>
      </c>
      <c r="H459" s="2"/>
      <c r="I459" s="2"/>
      <c r="J459" s="2"/>
      <c r="K459" s="2"/>
      <c r="L459" s="2"/>
      <c r="M459" s="2"/>
      <c r="N459" s="2"/>
      <c r="O459" s="2"/>
      <c r="P459" s="2"/>
      <c r="Q459" s="2"/>
      <c r="R459" s="2"/>
      <c r="S459" s="2"/>
      <c r="T459" s="2"/>
      <c r="U459" s="2"/>
      <c r="V459" s="2"/>
      <c r="W459" s="2"/>
      <c r="X459" s="2"/>
      <c r="Y459" s="2"/>
      <c r="Z459" s="2"/>
    </row>
    <row r="460">
      <c r="A460" s="2" t="str">
        <f>IFERROR(__xludf.DUMMYFUNCTION("""COMPUTED_VALUE"""),"Fingerless Glove of Anonymity")</f>
        <v>Fingerless Glove of Anonymity</v>
      </c>
      <c r="B460" s="2" t="str">
        <f>IFERROR(__xludf.DUMMYFUNCTION("""COMPUTED_VALUE"""),"Quest Item")</f>
        <v>Quest Item</v>
      </c>
      <c r="C460" s="2" t="str">
        <f>IFERROR(__xludf.DUMMYFUNCTION("""COMPUTED_VALUE"""),"Claw")</f>
        <v>Claw</v>
      </c>
      <c r="D460" s="2" t="str">
        <f>IFERROR(__xludf.DUMMYFUNCTION("""COMPUTED_VALUE"""),"Hand")</f>
        <v>Hand</v>
      </c>
      <c r="E460" s="2">
        <f>IFERROR(__xludf.DUMMYFUNCTION("""COMPUTED_VALUE"""),200.0)</f>
        <v>200</v>
      </c>
      <c r="F460" s="2" t="str">
        <f>IFERROR(__xludf.DUMMYFUNCTION("""COMPUTED_VALUE"""),"DMG: +10000, Light DMG: +10000, Order DMG: +10000, Celestial DMG: +10000 (Roguish Guise Set) ++X2 Money Stolen Via the Sword of Bad Luck. +1 Evasion When Fighting Guards. ++5% Chance to not gain a bounty when committing a crime (Cannot be Increased) ++20%"&amp;" chance to remove enemy from battle +-Cannot be duplicated +-Pirate/Marauder Only")</f>
        <v>DMG: +10000, Light DMG: +10000, Order DMG: +10000, Celestial DMG: +10000 (Roguish Guise Set) ++X2 Money Stolen Via the Sword of Bad Luck. +1 Evasion When Fighting Guards. ++5% Chance to not gain a bounty when committing a crime (Cannot be Increased) ++20% chance to remove enemy from battle +-Cannot be duplicated +-Pirate/Marauder Only</v>
      </c>
      <c r="G460" s="2">
        <f>IFERROR(__xludf.DUMMYFUNCTION("""COMPUTED_VALUE"""),3.16E7)</f>
        <v>31600000</v>
      </c>
      <c r="H460" s="2"/>
      <c r="I460" s="2"/>
      <c r="J460" s="2"/>
      <c r="K460" s="2"/>
      <c r="L460" s="2"/>
      <c r="M460" s="2"/>
      <c r="N460" s="2"/>
      <c r="O460" s="2"/>
      <c r="P460" s="2"/>
      <c r="Q460" s="2"/>
      <c r="R460" s="2"/>
      <c r="S460" s="2"/>
      <c r="T460" s="2"/>
      <c r="U460" s="2"/>
      <c r="V460" s="2"/>
      <c r="W460" s="2"/>
      <c r="X460" s="2"/>
      <c r="Y460" s="2"/>
      <c r="Z460" s="2"/>
    </row>
    <row r="461">
      <c r="A461" s="2" t="str">
        <f>IFERROR(__xludf.DUMMYFUNCTION("""COMPUTED_VALUE"""),"Bracers of Dastardly Deflection")</f>
        <v>Bracers of Dastardly Deflection</v>
      </c>
      <c r="B461" s="2" t="str">
        <f>IFERROR(__xludf.DUMMYFUNCTION("""COMPUTED_VALUE"""),"Quest Item")</f>
        <v>Quest Item</v>
      </c>
      <c r="C461" s="2"/>
      <c r="D461" s="2" t="str">
        <f>IFERROR(__xludf.DUMMYFUNCTION("""COMPUTED_VALUE"""),"Arms")</f>
        <v>Arms</v>
      </c>
      <c r="E461" s="2">
        <f>IFERROR(__xludf.DUMMYFUNCTION("""COMPUTED_VALUE"""),200.0)</f>
        <v>200</v>
      </c>
      <c r="F461" s="2" t="str">
        <f>IFERROR(__xludf.DUMMYFUNCTION("""COMPUTED_VALUE"""),"DEF: +10000, Light DEF: +10000, Order DEF: +10000, Celestial DEF: +10000 (Roguish Guise Set) ++X2 Money Stolen Via the Sword of Bad Luck. +1 Evasion When Fighting Guards +-Cannot be duplicated +-Pirate/Marauder Only")</f>
        <v>DEF: +10000, Light DEF: +10000, Order DEF: +10000, Celestial DEF: +10000 (Roguish Guise Set) ++X2 Money Stolen Via the Sword of Bad Luck. +1 Evasion When Fighting Guards +-Cannot be duplicated +-Pirate/Marauder Only</v>
      </c>
      <c r="G461" s="2">
        <f>IFERROR(__xludf.DUMMYFUNCTION("""COMPUTED_VALUE"""),3.16E7)</f>
        <v>31600000</v>
      </c>
      <c r="H461" s="2"/>
      <c r="I461" s="2"/>
      <c r="J461" s="2"/>
      <c r="K461" s="2"/>
      <c r="L461" s="2"/>
      <c r="M461" s="2"/>
      <c r="N461" s="2"/>
      <c r="O461" s="2"/>
      <c r="P461" s="2"/>
      <c r="Q461" s="2"/>
      <c r="R461" s="2"/>
      <c r="S461" s="2"/>
      <c r="T461" s="2"/>
      <c r="U461" s="2"/>
      <c r="V461" s="2"/>
      <c r="W461" s="2"/>
      <c r="X461" s="2"/>
      <c r="Y461" s="2"/>
      <c r="Z461" s="2"/>
    </row>
    <row r="462">
      <c r="A462" s="2" t="str">
        <f>IFERROR(__xludf.DUMMYFUNCTION("""COMPUTED_VALUE"""),"Amulet of the Goddess of Theft")</f>
        <v>Amulet of the Goddess of Theft</v>
      </c>
      <c r="B462" s="2" t="str">
        <f>IFERROR(__xludf.DUMMYFUNCTION("""COMPUTED_VALUE"""),"Quest Item")</f>
        <v>Quest Item</v>
      </c>
      <c r="C462" s="2"/>
      <c r="D462" s="2" t="str">
        <f>IFERROR(__xludf.DUMMYFUNCTION("""COMPUTED_VALUE"""),"Neck")</f>
        <v>Neck</v>
      </c>
      <c r="E462" s="2">
        <f>IFERROR(__xludf.DUMMYFUNCTION("""COMPUTED_VALUE"""),1.0)</f>
        <v>1</v>
      </c>
      <c r="F462" s="2" t="str">
        <f>IFERROR(__xludf.DUMMYFUNCTION("""COMPUTED_VALUE""")," (Roguish Guise Set) ++X2 Money Stolen Via the Sword of Bad Luck. +5 Evasion +-Cannot be forged +-Cannot be duplicated +-Pirate/Marauder Only")</f>
        <v> (Roguish Guise Set) ++X2 Money Stolen Via the Sword of Bad Luck. +5 Evasion +-Cannot be forged +-Cannot be duplicated +-Pirate/Marauder Only</v>
      </c>
      <c r="G462" s="2">
        <f>IFERROR(__xludf.DUMMYFUNCTION("""COMPUTED_VALUE"""),0.0)</f>
        <v>0</v>
      </c>
      <c r="H462" s="2"/>
      <c r="I462" s="2"/>
      <c r="J462" s="2"/>
      <c r="K462" s="2"/>
      <c r="L462" s="2"/>
      <c r="M462" s="2"/>
      <c r="N462" s="2"/>
      <c r="O462" s="2"/>
      <c r="P462" s="2"/>
      <c r="Q462" s="2"/>
      <c r="R462" s="2"/>
      <c r="S462" s="2"/>
      <c r="T462" s="2"/>
      <c r="U462" s="2"/>
      <c r="V462" s="2"/>
      <c r="W462" s="2"/>
      <c r="X462" s="2"/>
      <c r="Y462" s="2"/>
      <c r="Z462" s="2"/>
    </row>
    <row r="463">
      <c r="A463" s="2" t="str">
        <f>IFERROR(__xludf.DUMMYFUNCTION("""COMPUTED_VALUE"""),"Flute of The Majestic Forest")</f>
        <v>Flute of The Majestic Forest</v>
      </c>
      <c r="B463" s="2"/>
      <c r="C463" s="2" t="str">
        <f>IFERROR(__xludf.DUMMYFUNCTION("""COMPUTED_VALUE"""),"Instrument")</f>
        <v>Instrument</v>
      </c>
      <c r="D463" s="2" t="str">
        <f>IFERROR(__xludf.DUMMYFUNCTION("""COMPUTED_VALUE"""),"Hand")</f>
        <v>Hand</v>
      </c>
      <c r="E463" s="2">
        <f>IFERROR(__xludf.DUMMYFUNCTION("""COMPUTED_VALUE"""),300.0)</f>
        <v>300</v>
      </c>
      <c r="F463" s="2" t="str">
        <f>IFERROR(__xludf.DUMMYFUNCTION("""COMPUTED_VALUE"""),"DMG: +5000, Nature DMG: +5000, Acoustic DMG: +5000 ++X2 Additional Nature damage while equipped. ++Song of The Forest - Summons a nature mob determined by the DM/GM to assist you in battle. +-Cannot be duplicated. +-Only Bards can equip.")</f>
        <v>DMG: +5000, Nature DMG: +5000, Acoustic DMG: +5000 ++X2 Additional Nature damage while equipped. ++Song of The Forest - Summons a nature mob determined by the DM/GM to assist you in battle. +-Cannot be duplicated. +-Only Bards can equip.</v>
      </c>
      <c r="G463" s="2">
        <f>IFERROR(__xludf.DUMMYFUNCTION("""COMPUTED_VALUE"""),4350000.0)</f>
        <v>4350000</v>
      </c>
      <c r="H463" s="2"/>
      <c r="I463" s="2"/>
      <c r="J463" s="2"/>
      <c r="K463" s="2"/>
      <c r="L463" s="2"/>
      <c r="M463" s="2"/>
      <c r="N463" s="2"/>
      <c r="O463" s="2"/>
      <c r="P463" s="2"/>
      <c r="Q463" s="2"/>
      <c r="R463" s="2"/>
      <c r="S463" s="2"/>
      <c r="T463" s="2"/>
      <c r="U463" s="2"/>
      <c r="V463" s="2"/>
      <c r="W463" s="2"/>
      <c r="X463" s="2"/>
      <c r="Y463" s="2"/>
      <c r="Z463" s="2"/>
    </row>
    <row r="464">
      <c r="A464" s="2" t="str">
        <f>IFERROR(__xludf.DUMMYFUNCTION("""COMPUTED_VALUE"""),"Heatmore Tribal Drums")</f>
        <v>Heatmore Tribal Drums</v>
      </c>
      <c r="B464" s="2"/>
      <c r="C464" s="2" t="str">
        <f>IFERROR(__xludf.DUMMYFUNCTION("""COMPUTED_VALUE"""),"Instrument")</f>
        <v>Instrument</v>
      </c>
      <c r="D464" s="2" t="str">
        <f>IFERROR(__xludf.DUMMYFUNCTION("""COMPUTED_VALUE"""),"Hand")</f>
        <v>Hand</v>
      </c>
      <c r="E464" s="2">
        <f>IFERROR(__xludf.DUMMYFUNCTION("""COMPUTED_VALUE"""),600.0)</f>
        <v>600</v>
      </c>
      <c r="F464" s="2" t="str">
        <f>IFERROR(__xludf.DUMMYFUNCTION("""COMPUTED_VALUE"""),"DMG: +10000, Fire DMG: +10000, Acoustic DMG: +10000 ++X2 Additional Fire damage while equipped. ++Tribal Chant 25% chance to call Master Sawoogo to aid you in battle. +-Cannot be duplicated. +-Only Bards can equip.")</f>
        <v>DMG: +10000, Fire DMG: +10000, Acoustic DMG: +10000 ++X2 Additional Fire damage while equipped. ++Tribal Chant 25% chance to call Master Sawoogo to aid you in battle. +-Cannot be duplicated. +-Only Bards can equip.</v>
      </c>
      <c r="G464" s="2">
        <f>IFERROR(__xludf.DUMMYFUNCTION("""COMPUTED_VALUE"""),1.77E7)</f>
        <v>17700000</v>
      </c>
      <c r="H464" s="2"/>
      <c r="I464" s="2"/>
      <c r="J464" s="2"/>
      <c r="K464" s="2"/>
      <c r="L464" s="2"/>
      <c r="M464" s="2"/>
      <c r="N464" s="2"/>
      <c r="O464" s="2"/>
      <c r="P464" s="2"/>
      <c r="Q464" s="2"/>
      <c r="R464" s="2"/>
      <c r="S464" s="2"/>
      <c r="T464" s="2"/>
      <c r="U464" s="2"/>
      <c r="V464" s="2"/>
      <c r="W464" s="2"/>
      <c r="X464" s="2"/>
      <c r="Y464" s="2"/>
      <c r="Z464" s="2"/>
    </row>
    <row r="465">
      <c r="A465" s="2" t="str">
        <f>IFERROR(__xludf.DUMMYFUNCTION("""COMPUTED_VALUE"""),"Heatmore Tribal Maracas")</f>
        <v>Heatmore Tribal Maracas</v>
      </c>
      <c r="B465" s="2"/>
      <c r="C465" s="2" t="str">
        <f>IFERROR(__xludf.DUMMYFUNCTION("""COMPUTED_VALUE"""),"Instrument")</f>
        <v>Instrument</v>
      </c>
      <c r="D465" s="2" t="str">
        <f>IFERROR(__xludf.DUMMYFUNCTION("""COMPUTED_VALUE"""),"Hand")</f>
        <v>Hand</v>
      </c>
      <c r="E465" s="2">
        <f>IFERROR(__xludf.DUMMYFUNCTION("""COMPUTED_VALUE"""),900.0)</f>
        <v>900</v>
      </c>
      <c r="F465" s="2" t="str">
        <f>IFERROR(__xludf.DUMMYFUNCTION("""COMPUTED_VALUE"""),"DMG: +15000, Fire DMG: +15000, Acoustic DMG: +15000 ++X4 additional Fire and Acoustic damage while equipped. +-Cannot be duplicated. +-Only Bards can equip.")</f>
        <v>DMG: +15000, Fire DMG: +15000, Acoustic DMG: +15000 ++X4 additional Fire and Acoustic damage while equipped. +-Cannot be duplicated. +-Only Bards can equip.</v>
      </c>
      <c r="G465" s="2">
        <f>IFERROR(__xludf.DUMMYFUNCTION("""COMPUTED_VALUE"""),4.005E7)</f>
        <v>40050000</v>
      </c>
      <c r="H465" s="2"/>
      <c r="I465" s="2"/>
      <c r="J465" s="2"/>
      <c r="K465" s="2"/>
      <c r="L465" s="2"/>
      <c r="M465" s="2"/>
      <c r="N465" s="2"/>
      <c r="O465" s="2"/>
      <c r="P465" s="2"/>
      <c r="Q465" s="2"/>
      <c r="R465" s="2"/>
      <c r="S465" s="2"/>
      <c r="T465" s="2"/>
      <c r="U465" s="2"/>
      <c r="V465" s="2"/>
      <c r="W465" s="2"/>
      <c r="X465" s="2"/>
      <c r="Y465" s="2"/>
      <c r="Z465" s="2"/>
    </row>
    <row r="466">
      <c r="A466" s="2" t="str">
        <f>IFERROR(__xludf.DUMMYFUNCTION("""COMPUTED_VALUE"""),"Mask of Creeping Darkness")</f>
        <v>Mask of Creeping Darkness</v>
      </c>
      <c r="B466" s="2" t="str">
        <f>IFERROR(__xludf.DUMMYFUNCTION("""COMPUTED_VALUE"""),"Quest Item")</f>
        <v>Quest Item</v>
      </c>
      <c r="C466" s="2"/>
      <c r="D466" s="2" t="str">
        <f>IFERROR(__xludf.DUMMYFUNCTION("""COMPUTED_VALUE"""),"Head")</f>
        <v>Head</v>
      </c>
      <c r="E466" s="2">
        <f>IFERROR(__xludf.DUMMYFUNCTION("""COMPUTED_VALUE"""),200.0)</f>
        <v>200</v>
      </c>
      <c r="F466" s="2" t="str">
        <f>IFERROR(__xludf.DUMMYFUNCTION("""COMPUTED_VALUE"""),"DEF: +25000, Light DEF: +25000, Order DEF: +25000, Celestial DEF: +20000 ++X2 Damage whilst invulnerable breaking invulnerability upon being used. +-Cannot be Duplicated. +-Ninja Only")</f>
        <v>DEF: +25000, Light DEF: +25000, Order DEF: +25000, Celestial DEF: +20000 ++X2 Damage whilst invulnerable breaking invulnerability upon being used. +-Cannot be Duplicated. +-Ninja Only</v>
      </c>
      <c r="G466" s="2">
        <f>IFERROR(__xludf.DUMMYFUNCTION("""COMPUTED_VALUE"""),1.7955E8)</f>
        <v>179550000</v>
      </c>
      <c r="H466" s="2"/>
      <c r="I466" s="2"/>
      <c r="J466" s="2"/>
      <c r="K466" s="2"/>
      <c r="L466" s="2"/>
      <c r="M466" s="2"/>
      <c r="N466" s="2"/>
      <c r="O466" s="2"/>
      <c r="P466" s="2"/>
      <c r="Q466" s="2"/>
      <c r="R466" s="2"/>
      <c r="S466" s="2"/>
      <c r="T466" s="2"/>
      <c r="U466" s="2"/>
      <c r="V466" s="2"/>
      <c r="W466" s="2"/>
      <c r="X466" s="2"/>
      <c r="Y466" s="2"/>
      <c r="Z466" s="2"/>
    </row>
    <row r="467">
      <c r="A467" s="2" t="str">
        <f>IFERROR(__xludf.DUMMYFUNCTION("""COMPUTED_VALUE"""),"Chest of Evershifting Darkness")</f>
        <v>Chest of Evershifting Darkness</v>
      </c>
      <c r="B467" s="2" t="str">
        <f>IFERROR(__xludf.DUMMYFUNCTION("""COMPUTED_VALUE"""),"Quest Item")</f>
        <v>Quest Item</v>
      </c>
      <c r="C467" s="2"/>
      <c r="D467" s="2" t="str">
        <f>IFERROR(__xludf.DUMMYFUNCTION("""COMPUTED_VALUE"""),"Torso")</f>
        <v>Torso</v>
      </c>
      <c r="E467" s="2">
        <f>IFERROR(__xludf.DUMMYFUNCTION("""COMPUTED_VALUE"""),200.0)</f>
        <v>200</v>
      </c>
      <c r="F467" s="2" t="str">
        <f>IFERROR(__xludf.DUMMYFUNCTION("""COMPUTED_VALUE"""),"DEF: +25000, Light DEF: +25000, Order DEF: +25000, Celestial DEF: +30000 (Shuttering Shadows Set) ++X4 Damage whilst invulnerable breaking invulnerability upon being used. +-Cannot be Duplicated. +-Ninja Only")</f>
        <v>DEF: +25000, Light DEF: +25000, Order DEF: +25000, Celestial DEF: +30000 (Shuttering Shadows Set) ++X4 Damage whilst invulnerable breaking invulnerability upon being used. +-Cannot be Duplicated. +-Ninja Only</v>
      </c>
      <c r="G467" s="2">
        <f>IFERROR(__xludf.DUMMYFUNCTION("""COMPUTED_VALUE"""),2.1945E8)</f>
        <v>219450000</v>
      </c>
      <c r="H467" s="2"/>
      <c r="I467" s="2"/>
      <c r="J467" s="2"/>
      <c r="K467" s="2"/>
      <c r="L467" s="2"/>
      <c r="M467" s="2"/>
      <c r="N467" s="2"/>
      <c r="O467" s="2"/>
      <c r="P467" s="2"/>
      <c r="Q467" s="2"/>
      <c r="R467" s="2"/>
      <c r="S467" s="2"/>
      <c r="T467" s="2"/>
      <c r="U467" s="2"/>
      <c r="V467" s="2"/>
      <c r="W467" s="2"/>
      <c r="X467" s="2"/>
      <c r="Y467" s="2"/>
      <c r="Z467" s="2"/>
    </row>
    <row r="468">
      <c r="A468" s="2" t="str">
        <f>IFERROR(__xludf.DUMMYFUNCTION("""COMPUTED_VALUE"""),"Leather Boots of EDGINESS")</f>
        <v>Leather Boots of EDGINESS</v>
      </c>
      <c r="B468" s="2" t="str">
        <f>IFERROR(__xludf.DUMMYFUNCTION("""COMPUTED_VALUE"""),"Quest Item")</f>
        <v>Quest Item</v>
      </c>
      <c r="C468" s="2"/>
      <c r="D468" s="2" t="str">
        <f>IFERROR(__xludf.DUMMYFUNCTION("""COMPUTED_VALUE"""),"Feet")</f>
        <v>Feet</v>
      </c>
      <c r="E468" s="2">
        <f>IFERROR(__xludf.DUMMYFUNCTION("""COMPUTED_VALUE"""),200.0)</f>
        <v>200</v>
      </c>
      <c r="F468" s="2" t="str">
        <f>IFERROR(__xludf.DUMMYFUNCTION("""COMPUTED_VALUE"""),"DEF: +25000, Light DEF: +25000, Order DEF: +25000, Celestial DEF: +20000 (Shuttering Shadows Set) ++X2 Damage whilst invulnerable breaking invulnerability upon being used. +-Cannot be Duplicated. +-Ninja Only")</f>
        <v>DEF: +25000, Light DEF: +25000, Order DEF: +25000, Celestial DEF: +20000 (Shuttering Shadows Set) ++X2 Damage whilst invulnerable breaking invulnerability upon being used. +-Cannot be Duplicated. +-Ninja Only</v>
      </c>
      <c r="G468" s="2">
        <f>IFERROR(__xludf.DUMMYFUNCTION("""COMPUTED_VALUE"""),1.7955E8)</f>
        <v>179550000</v>
      </c>
      <c r="H468" s="2"/>
      <c r="I468" s="2"/>
      <c r="J468" s="2"/>
      <c r="K468" s="2"/>
      <c r="L468" s="2"/>
      <c r="M468" s="2"/>
      <c r="N468" s="2"/>
      <c r="O468" s="2"/>
      <c r="P468" s="2"/>
      <c r="Q468" s="2"/>
      <c r="R468" s="2"/>
      <c r="S468" s="2"/>
      <c r="T468" s="2"/>
      <c r="U468" s="2"/>
      <c r="V468" s="2"/>
      <c r="W468" s="2"/>
      <c r="X468" s="2"/>
      <c r="Y468" s="2"/>
      <c r="Z468" s="2"/>
    </row>
    <row r="469">
      <c r="A469" s="2" t="str">
        <f>IFERROR(__xludf.DUMMYFUNCTION("""COMPUTED_VALUE"""),"Silken Gloves of Dexterity")</f>
        <v>Silken Gloves of Dexterity</v>
      </c>
      <c r="B469" s="2" t="str">
        <f>IFERROR(__xludf.DUMMYFUNCTION("""COMPUTED_VALUE"""),"Quest Item")</f>
        <v>Quest Item</v>
      </c>
      <c r="C469" s="2"/>
      <c r="D469" s="2" t="str">
        <f>IFERROR(__xludf.DUMMYFUNCTION("""COMPUTED_VALUE"""),"Arms")</f>
        <v>Arms</v>
      </c>
      <c r="E469" s="2">
        <f>IFERROR(__xludf.DUMMYFUNCTION("""COMPUTED_VALUE"""),200.0)</f>
        <v>200</v>
      </c>
      <c r="F469" s="2" t="str">
        <f>IFERROR(__xludf.DUMMYFUNCTION("""COMPUTED_VALUE"""),"DEF: +25000, Light DEF: +25000, Order DEF: +25000, Celestial DEF: +20000 (Shuttering Shadows Set) ++gain +5 to attack rolls whilst invulnerable. ++the Knife attribute is 3X as likely to activate. +-Cannot be forged +-Cannot be duplicated +-Ninja Only")</f>
        <v>DEF: +25000, Light DEF: +25000, Order DEF: +25000, Celestial DEF: +20000 (Shuttering Shadows Set) ++gain +5 to attack rolls whilst invulnerable. ++the Knife attribute is 3X as likely to activate. +-Cannot be forged +-Cannot be duplicated +-Ninja Only</v>
      </c>
      <c r="G469" s="2">
        <f>IFERROR(__xludf.DUMMYFUNCTION("""COMPUTED_VALUE"""),1.7955E8)</f>
        <v>179550000</v>
      </c>
      <c r="H469" s="2"/>
      <c r="I469" s="2"/>
      <c r="J469" s="2"/>
      <c r="K469" s="2"/>
      <c r="L469" s="2"/>
      <c r="M469" s="2"/>
      <c r="N469" s="2"/>
      <c r="O469" s="2"/>
      <c r="P469" s="2"/>
      <c r="Q469" s="2"/>
      <c r="R469" s="2"/>
      <c r="S469" s="2"/>
      <c r="T469" s="2"/>
      <c r="U469" s="2"/>
      <c r="V469" s="2"/>
      <c r="W469" s="2"/>
      <c r="X469" s="2"/>
      <c r="Y469" s="2"/>
      <c r="Z469" s="2"/>
    </row>
    <row r="470">
      <c r="A470" s="2" t="str">
        <f>IFERROR(__xludf.DUMMYFUNCTION("""COMPUTED_VALUE"""),"Leggings of Swift Death")</f>
        <v>Leggings of Swift Death</v>
      </c>
      <c r="B470" s="2" t="str">
        <f>IFERROR(__xludf.DUMMYFUNCTION("""COMPUTED_VALUE"""),"Quest Item")</f>
        <v>Quest Item</v>
      </c>
      <c r="C470" s="2"/>
      <c r="D470" s="2" t="str">
        <f>IFERROR(__xludf.DUMMYFUNCTION("""COMPUTED_VALUE"""),"Legs")</f>
        <v>Legs</v>
      </c>
      <c r="E470" s="2">
        <f>IFERROR(__xludf.DUMMYFUNCTION("""COMPUTED_VALUE"""),200.0)</f>
        <v>200</v>
      </c>
      <c r="F470" s="2" t="str">
        <f>IFERROR(__xludf.DUMMYFUNCTION("""COMPUTED_VALUE"""),"DEF: +25000, Light DEF: +25000, Order DEF: +25000, Celestial DEF: +20000 (Shuttering Shadows Set) ++X2 Damage whilst invulnerable breaking invulnerability upon being used, +-Cannot be Duplicated, +-Ninja Only")</f>
        <v>DEF: +25000, Light DEF: +25000, Order DEF: +25000, Celestial DEF: +20000 (Shuttering Shadows Set) ++X2 Damage whilst invulnerable breaking invulnerability upon being used, +-Cannot be Duplicated, +-Ninja Only</v>
      </c>
      <c r="G470" s="2">
        <f>IFERROR(__xludf.DUMMYFUNCTION("""COMPUTED_VALUE"""),1.7955E8)</f>
        <v>179550000</v>
      </c>
      <c r="H470" s="2"/>
      <c r="I470" s="2"/>
      <c r="J470" s="2"/>
      <c r="K470" s="2"/>
      <c r="L470" s="2"/>
      <c r="M470" s="2"/>
      <c r="N470" s="2"/>
      <c r="O470" s="2"/>
      <c r="P470" s="2"/>
      <c r="Q470" s="2"/>
      <c r="R470" s="2"/>
      <c r="S470" s="2"/>
      <c r="T470" s="2"/>
      <c r="U470" s="2"/>
      <c r="V470" s="2"/>
      <c r="W470" s="2"/>
      <c r="X470" s="2"/>
      <c r="Y470" s="2"/>
      <c r="Z470" s="2"/>
    </row>
    <row r="471">
      <c r="A471" s="2" t="str">
        <f>IFERROR(__xludf.DUMMYFUNCTION("""COMPUTED_VALUE"""),"Cape of Illusion")</f>
        <v>Cape of Illusion</v>
      </c>
      <c r="B471" s="2" t="str">
        <f>IFERROR(__xludf.DUMMYFUNCTION("""COMPUTED_VALUE"""),"Quest Item")</f>
        <v>Quest Item</v>
      </c>
      <c r="C471" s="2"/>
      <c r="D471" s="2" t="str">
        <f>IFERROR(__xludf.DUMMYFUNCTION("""COMPUTED_VALUE"""),"Shoulders")</f>
        <v>Shoulders</v>
      </c>
      <c r="E471" s="2">
        <f>IFERROR(__xludf.DUMMYFUNCTION("""COMPUTED_VALUE"""),200.0)</f>
        <v>200</v>
      </c>
      <c r="F471" s="2" t="str">
        <f>IFERROR(__xludf.DUMMYFUNCTION("""COMPUTED_VALUE"""),"DEF: +25000, Light DEF: +25000, Order DEF: +25000, Celestial DEF: +20000 (Shuttering Shadows Set) ++X2 Damage whilst invulnerable breaking invulnerability upon being used, 50% chance to become unaffected by an Instant death effect. ++Conceal: upon enterin"&amp;"g combat you are invulnerable for 1 round or until you attack +-Cannot be forged +-Cannot be duplicated +-Ninja Only")</f>
        <v>DEF: +25000, Light DEF: +25000, Order DEF: +25000, Celestial DEF: +20000 (Shuttering Shadows Set) ++X2 Damage whilst invulnerable breaking invulnerability upon being used, 50% chance to become unaffected by an Instant death effect. ++Conceal: upon entering combat you are invulnerable for 1 round or until you attack +-Cannot be forged +-Cannot be duplicated +-Ninja Only</v>
      </c>
      <c r="G471" s="2">
        <f>IFERROR(__xludf.DUMMYFUNCTION("""COMPUTED_VALUE"""),1.7955E8)</f>
        <v>179550000</v>
      </c>
      <c r="H471" s="2"/>
      <c r="I471" s="2"/>
      <c r="J471" s="2"/>
      <c r="K471" s="2"/>
      <c r="L471" s="2"/>
      <c r="M471" s="2"/>
      <c r="N471" s="2"/>
      <c r="O471" s="2"/>
      <c r="P471" s="2"/>
      <c r="Q471" s="2"/>
      <c r="R471" s="2"/>
      <c r="S471" s="2"/>
      <c r="T471" s="2"/>
      <c r="U471" s="2"/>
      <c r="V471" s="2"/>
      <c r="W471" s="2"/>
      <c r="X471" s="2"/>
      <c r="Y471" s="2"/>
      <c r="Z471" s="2"/>
    </row>
    <row r="472">
      <c r="A472" s="2" t="str">
        <f>IFERROR(__xludf.DUMMYFUNCTION("""COMPUTED_VALUE"""),"Assassin's Kiss")</f>
        <v>Assassin's Kiss</v>
      </c>
      <c r="B472" s="2" t="str">
        <f>IFERROR(__xludf.DUMMYFUNCTION("""COMPUTED_VALUE"""),"Quest Item")</f>
        <v>Quest Item</v>
      </c>
      <c r="C472" s="2" t="str">
        <f>IFERROR(__xludf.DUMMYFUNCTION("""COMPUTED_VALUE"""),"Knife")</f>
        <v>Knife</v>
      </c>
      <c r="D472" s="2" t="str">
        <f>IFERROR(__xludf.DUMMYFUNCTION("""COMPUTED_VALUE"""),"Hand")</f>
        <v>Hand</v>
      </c>
      <c r="E472" s="2">
        <f>IFERROR(__xludf.DUMMYFUNCTION("""COMPUTED_VALUE"""),200.0)</f>
        <v>200</v>
      </c>
      <c r="F472" s="2" t="str">
        <f>IFERROR(__xludf.DUMMYFUNCTION("""COMPUTED_VALUE"""),"DMG: +50000, Dark DMG: +25000, Chaos DMG: +25000, Celestial DMG: +10000 (Shuttering Shadows Set) ++X4 Damage whilst invulnerable breaking invulnerability upon being used. ++When equipped with the Night's Edge attack with both weapons at the same time. +-C"&amp;"annot be Duplicated Must be used in conjunction with the Night's Edge or any weapon the Night's Edge is forged into, +-Ninja Only")</f>
        <v>DMG: +50000, Dark DMG: +25000, Chaos DMG: +25000, Celestial DMG: +10000 (Shuttering Shadows Set) ++X4 Damage whilst invulnerable breaking invulnerability upon being used. ++When equipped with the Night's Edge attack with both weapons at the same time. +-Cannot be Duplicated Must be used in conjunction with the Night's Edge or any weapon the Night's Edge is forged into, +-Ninja Only</v>
      </c>
      <c r="G472" s="2">
        <f>IFERROR(__xludf.DUMMYFUNCTION("""COMPUTED_VALUE"""),2.409E8)</f>
        <v>240900000</v>
      </c>
      <c r="H472" s="2"/>
      <c r="I472" s="2"/>
      <c r="J472" s="2"/>
      <c r="K472" s="2"/>
      <c r="L472" s="2"/>
      <c r="M472" s="2"/>
      <c r="N472" s="2"/>
      <c r="O472" s="2"/>
      <c r="P472" s="2"/>
      <c r="Q472" s="2"/>
      <c r="R472" s="2"/>
      <c r="S472" s="2"/>
      <c r="T472" s="2"/>
      <c r="U472" s="2"/>
      <c r="V472" s="2"/>
      <c r="W472" s="2"/>
      <c r="X472" s="2"/>
      <c r="Y472" s="2"/>
      <c r="Z472" s="2"/>
    </row>
    <row r="473">
      <c r="A473" s="2" t="str">
        <f>IFERROR(__xludf.DUMMYFUNCTION("""COMPUTED_VALUE"""),"Night's Edge")</f>
        <v>Night's Edge</v>
      </c>
      <c r="B473" s="2" t="str">
        <f>IFERROR(__xludf.DUMMYFUNCTION("""COMPUTED_VALUE"""),"Quest Item")</f>
        <v>Quest Item</v>
      </c>
      <c r="C473" s="2" t="str">
        <f>IFERROR(__xludf.DUMMYFUNCTION("""COMPUTED_VALUE"""),"Knife")</f>
        <v>Knife</v>
      </c>
      <c r="D473" s="2" t="str">
        <f>IFERROR(__xludf.DUMMYFUNCTION("""COMPUTED_VALUE"""),"Hand")</f>
        <v>Hand</v>
      </c>
      <c r="E473" s="2">
        <f>IFERROR(__xludf.DUMMYFUNCTION("""COMPUTED_VALUE"""),200.0)</f>
        <v>200</v>
      </c>
      <c r="F473" s="2" t="str">
        <f>IFERROR(__xludf.DUMMYFUNCTION("""COMPUTED_VALUE"""),"DMG: +50000, Dark DMG: +25000, Chaos DMG: +25000, Celestial DMG: +10000 (Shuttering Shadows Set) ++X4 Damage whilst invulnerable breaking invulnerability upon being used, When equipped with the Assassin's Kiss, attack with both weapons at the same time. +"&amp;"-Cannot be Duplicated, +-Must be Equipped with the Assassin's Kiss +-Ninja Only")</f>
        <v>DMG: +50000, Dark DMG: +25000, Chaos DMG: +25000, Celestial DMG: +10000 (Shuttering Shadows Set) ++X4 Damage whilst invulnerable breaking invulnerability upon being used, When equipped with the Assassin's Kiss, attack with both weapons at the same time. +-Cannot be Duplicated, +-Must be Equipped with the Assassin's Kiss +-Ninja Only</v>
      </c>
      <c r="G473" s="2">
        <f>IFERROR(__xludf.DUMMYFUNCTION("""COMPUTED_VALUE"""),2.409E8)</f>
        <v>240900000</v>
      </c>
      <c r="H473" s="2"/>
      <c r="I473" s="2"/>
      <c r="J473" s="2"/>
      <c r="K473" s="2"/>
      <c r="L473" s="2"/>
      <c r="M473" s="2"/>
      <c r="N473" s="2"/>
      <c r="O473" s="2"/>
      <c r="P473" s="2"/>
      <c r="Q473" s="2"/>
      <c r="R473" s="2"/>
      <c r="S473" s="2"/>
      <c r="T473" s="2"/>
      <c r="U473" s="2"/>
      <c r="V473" s="2"/>
      <c r="W473" s="2"/>
      <c r="X473" s="2"/>
      <c r="Y473" s="2"/>
      <c r="Z473" s="2"/>
    </row>
    <row r="474">
      <c r="A474" s="2" t="str">
        <f>IFERROR(__xludf.DUMMYFUNCTION("""COMPUTED_VALUE"""),"Ancient Draconian Deity Necklace")</f>
        <v>Ancient Draconian Deity Necklace</v>
      </c>
      <c r="B474" s="2"/>
      <c r="C474" s="2"/>
      <c r="D474" s="2" t="str">
        <f>IFERROR(__xludf.DUMMYFUNCTION("""COMPUTED_VALUE"""),"Neck")</f>
        <v>Neck</v>
      </c>
      <c r="E474" s="2">
        <f>IFERROR(__xludf.DUMMYFUNCTION("""COMPUTED_VALUE"""),1.0)</f>
        <v>1</v>
      </c>
      <c r="F474" s="2" t="str">
        <f>IFERROR(__xludf.DUMMYFUNCTION("""COMPUTED_VALUE""")," ++5 to all d20 rolls, +-Cannot be duplicated.")</f>
        <v> ++5 to all d20 rolls, +-Cannot be duplicated.</v>
      </c>
      <c r="G474" s="2">
        <f>IFERROR(__xludf.DUMMYFUNCTION("""COMPUTED_VALUE"""),0.0)</f>
        <v>0</v>
      </c>
      <c r="H474" s="2"/>
      <c r="I474" s="2"/>
      <c r="J474" s="2"/>
      <c r="K474" s="2"/>
      <c r="L474" s="2"/>
      <c r="M474" s="2"/>
      <c r="N474" s="2"/>
      <c r="O474" s="2"/>
      <c r="P474" s="2"/>
      <c r="Q474" s="2"/>
      <c r="R474" s="2"/>
      <c r="S474" s="2"/>
      <c r="T474" s="2"/>
      <c r="U474" s="2"/>
      <c r="V474" s="2"/>
      <c r="W474" s="2"/>
      <c r="X474" s="2"/>
      <c r="Y474" s="2"/>
      <c r="Z474" s="2"/>
    </row>
    <row r="475">
      <c r="A475" s="2" t="str">
        <f>IFERROR(__xludf.DUMMYFUNCTION("""COMPUTED_VALUE"""),"Gungnir")</f>
        <v>Gungnir</v>
      </c>
      <c r="B475" s="2"/>
      <c r="C475" s="2" t="str">
        <f>IFERROR(__xludf.DUMMYFUNCTION("""COMPUTED_VALUE"""),"Spear")</f>
        <v>Spear</v>
      </c>
      <c r="D475" s="2" t="str">
        <f>IFERROR(__xludf.DUMMYFUNCTION("""COMPUTED_VALUE"""),"Hand")</f>
        <v>Hand</v>
      </c>
      <c r="E475" s="2">
        <f>IFERROR(__xludf.DUMMYFUNCTION("""COMPUTED_VALUE"""),1.0)</f>
        <v>1</v>
      </c>
      <c r="F475" s="2"/>
      <c r="G475" s="2">
        <f>IFERROR(__xludf.DUMMYFUNCTION("""COMPUTED_VALUE"""),0.0)</f>
        <v>0</v>
      </c>
      <c r="H475" s="2"/>
      <c r="I475" s="2"/>
      <c r="J475" s="2"/>
      <c r="K475" s="2"/>
      <c r="L475" s="2"/>
      <c r="M475" s="2"/>
      <c r="N475" s="2"/>
      <c r="O475" s="2"/>
      <c r="P475" s="2"/>
      <c r="Q475" s="2"/>
      <c r="R475" s="2"/>
      <c r="S475" s="2"/>
      <c r="T475" s="2"/>
      <c r="U475" s="2"/>
      <c r="V475" s="2"/>
      <c r="W475" s="2"/>
      <c r="X475" s="2"/>
      <c r="Y475" s="2"/>
      <c r="Z475" s="2"/>
    </row>
    <row r="476">
      <c r="A476" s="2" t="str">
        <f>IFERROR(__xludf.DUMMYFUNCTION("""COMPUTED_VALUE"""),"Gaia's Rock Hammer")</f>
        <v>Gaia's Rock Hammer</v>
      </c>
      <c r="B476" s="2" t="str">
        <f>IFERROR(__xludf.DUMMYFUNCTION("""COMPUTED_VALUE"""),"Quest Item")</f>
        <v>Quest Item</v>
      </c>
      <c r="C476" s="2" t="str">
        <f>IFERROR(__xludf.DUMMYFUNCTION("""COMPUTED_VALUE"""),"Club")</f>
        <v>Club</v>
      </c>
      <c r="D476" s="2" t="str">
        <f>IFERROR(__xludf.DUMMYFUNCTION("""COMPUTED_VALUE"""),"Hand")</f>
        <v>Hand</v>
      </c>
      <c r="E476" s="2">
        <f>IFERROR(__xludf.DUMMYFUNCTION("""COMPUTED_VALUE"""),200.0)</f>
        <v>200</v>
      </c>
      <c r="F476" s="2" t="str">
        <f>IFERROR(__xludf.DUMMYFUNCTION("""COMPUTED_VALUE"""),"DMG: +25000, Earth DMG: +100000, Nature DMG: +15000, Celestial DMG: +25000 ++X4 Earth damage. Gaia's Slumber: ++50% chance to put target to sleep. +-Cannot be duplicated, +-You can only acquire one of these")</f>
        <v>DMG: +25000, Earth DMG: +100000, Nature DMG: +15000, Celestial DMG: +25000 ++X4 Earth damage. Gaia's Slumber: ++50% chance to put target to sleep. +-Cannot be duplicated, +-You can only acquire one of these</v>
      </c>
      <c r="G476" s="2">
        <f>IFERROR(__xludf.DUMMYFUNCTION("""COMPUTED_VALUE"""),5.4285E8)</f>
        <v>542850000</v>
      </c>
      <c r="H476" s="2"/>
      <c r="I476" s="2"/>
      <c r="J476" s="2"/>
      <c r="K476" s="2"/>
      <c r="L476" s="2"/>
      <c r="M476" s="2"/>
      <c r="N476" s="2"/>
      <c r="O476" s="2"/>
      <c r="P476" s="2"/>
      <c r="Q476" s="2"/>
      <c r="R476" s="2"/>
      <c r="S476" s="2"/>
      <c r="T476" s="2"/>
      <c r="U476" s="2"/>
      <c r="V476" s="2"/>
      <c r="W476" s="2"/>
      <c r="X476" s="2"/>
      <c r="Y476" s="2"/>
      <c r="Z476" s="2"/>
    </row>
    <row r="477">
      <c r="A477" s="2" t="str">
        <f>IFERROR(__xludf.DUMMYFUNCTION("""COMPUTED_VALUE"""),"Bahamut's Claw")</f>
        <v>Bahamut's Claw</v>
      </c>
      <c r="B477" s="2" t="str">
        <f>IFERROR(__xludf.DUMMYFUNCTION("""COMPUTED_VALUE"""),"Mob Exclusive")</f>
        <v>Mob Exclusive</v>
      </c>
      <c r="C477" s="2" t="str">
        <f>IFERROR(__xludf.DUMMYFUNCTION("""COMPUTED_VALUE"""),"Claw")</f>
        <v>Claw</v>
      </c>
      <c r="D477" s="2" t="str">
        <f>IFERROR(__xludf.DUMMYFUNCTION("""COMPUTED_VALUE"""),"Hand")</f>
        <v>Hand</v>
      </c>
      <c r="E477" s="2">
        <f>IFERROR(__xludf.DUMMYFUNCTION("""COMPUTED_VALUE"""),200.0)</f>
        <v>200</v>
      </c>
      <c r="F477" s="2" t="str">
        <f>IFERROR(__xludf.DUMMYFUNCTION("""COMPUTED_VALUE"""),"DMG: +250000, Delta DMG: +250000, Celestial DMG: +250000 +-Cannot resist or be immune to this attack. ++Bahamut's Bloodlust: Heals Bahamut by 2X damage dealt with this weapon. 50% chance to remove any hit enemy from battle")</f>
        <v>DMG: +250000, Delta DMG: +250000, Celestial DMG: +250000 +-Cannot resist or be immune to this attack. ++Bahamut's Bloodlust: Heals Bahamut by 2X damage dealt with this weapon. 50% chance to remove any hit enemy from battle</v>
      </c>
      <c r="G477" s="2">
        <f>IFERROR(__xludf.DUMMYFUNCTION("""COMPUTED_VALUE"""),1.12425E10)</f>
        <v>11242500000</v>
      </c>
      <c r="H477" s="2"/>
      <c r="I477" s="2"/>
      <c r="J477" s="2"/>
      <c r="K477" s="2"/>
      <c r="L477" s="2"/>
      <c r="M477" s="2"/>
      <c r="N477" s="2"/>
      <c r="O477" s="2"/>
      <c r="P477" s="2"/>
      <c r="Q477" s="2"/>
      <c r="R477" s="2"/>
      <c r="S477" s="2"/>
      <c r="T477" s="2"/>
      <c r="U477" s="2"/>
      <c r="V477" s="2"/>
      <c r="W477" s="2"/>
      <c r="X477" s="2"/>
      <c r="Y477" s="2"/>
      <c r="Z477" s="2"/>
    </row>
    <row r="478">
      <c r="A478" s="2" t="str">
        <f>IFERROR(__xludf.DUMMYFUNCTION("""COMPUTED_VALUE"""),"Chronos' Staff of Time")</f>
        <v>Chronos' Staff of Time</v>
      </c>
      <c r="B478" s="2"/>
      <c r="C478" s="2" t="str">
        <f>IFERROR(__xludf.DUMMYFUNCTION("""COMPUTED_VALUE"""),"Staff")</f>
        <v>Staff</v>
      </c>
      <c r="D478" s="2" t="str">
        <f>IFERROR(__xludf.DUMMYFUNCTION("""COMPUTED_VALUE"""),"Hand")</f>
        <v>Hand</v>
      </c>
      <c r="E478" s="2">
        <f>IFERROR(__xludf.DUMMYFUNCTION("""COMPUTED_VALUE"""),1.0)</f>
        <v>1</v>
      </c>
      <c r="F478" s="2"/>
      <c r="G478" s="2">
        <f>IFERROR(__xludf.DUMMYFUNCTION("""COMPUTED_VALUE"""),0.0)</f>
        <v>0</v>
      </c>
      <c r="H478" s="2"/>
      <c r="I478" s="2"/>
      <c r="J478" s="2"/>
      <c r="K478" s="2"/>
      <c r="L478" s="2"/>
      <c r="M478" s="2"/>
      <c r="N478" s="2"/>
      <c r="O478" s="2"/>
      <c r="P478" s="2"/>
      <c r="Q478" s="2"/>
      <c r="R478" s="2"/>
      <c r="S478" s="2"/>
      <c r="T478" s="2"/>
      <c r="U478" s="2"/>
      <c r="V478" s="2"/>
      <c r="W478" s="2"/>
      <c r="X478" s="2"/>
      <c r="Y478" s="2"/>
      <c r="Z478" s="2"/>
    </row>
    <row r="479">
      <c r="A479" s="2" t="str">
        <f>IFERROR(__xludf.DUMMYFUNCTION("""COMPUTED_VALUE"""),"Scimitar")</f>
        <v>Scimitar</v>
      </c>
      <c r="B479" s="2"/>
      <c r="C479" s="2" t="str">
        <f>IFERROR(__xludf.DUMMYFUNCTION("""COMPUTED_VALUE"""),"Sword")</f>
        <v>Sword</v>
      </c>
      <c r="D479" s="2" t="str">
        <f>IFERROR(__xludf.DUMMYFUNCTION("""COMPUTED_VALUE"""),"Hand")</f>
        <v>Hand</v>
      </c>
      <c r="E479" s="2">
        <f>IFERROR(__xludf.DUMMYFUNCTION("""COMPUTED_VALUE"""),300.0)</f>
        <v>300</v>
      </c>
      <c r="F479" s="2" t="str">
        <f>IFERROR(__xludf.DUMMYFUNCTION("""COMPUTED_VALUE"""),"DMG: +10000, Fire DMG: +5000")</f>
        <v>DMG: +10000, Fire DMG: +5000</v>
      </c>
      <c r="G479" s="2">
        <f>IFERROR(__xludf.DUMMYFUNCTION("""COMPUTED_VALUE"""),4350000.0)</f>
        <v>4350000</v>
      </c>
      <c r="H479" s="2"/>
      <c r="I479" s="2"/>
      <c r="J479" s="2"/>
      <c r="K479" s="2"/>
      <c r="L479" s="2"/>
      <c r="M479" s="2"/>
      <c r="N479" s="2"/>
      <c r="O479" s="2"/>
      <c r="P479" s="2"/>
      <c r="Q479" s="2"/>
      <c r="R479" s="2"/>
      <c r="S479" s="2"/>
      <c r="T479" s="2"/>
      <c r="U479" s="2"/>
      <c r="V479" s="2"/>
      <c r="W479" s="2"/>
      <c r="X479" s="2"/>
      <c r="Y479" s="2"/>
      <c r="Z479" s="2"/>
    </row>
    <row r="480">
      <c r="A480" s="2" t="str">
        <f>IFERROR(__xludf.DUMMYFUNCTION("""COMPUTED_VALUE"""),"Gaia's Helmet of Earthen Fortitude")</f>
        <v>Gaia's Helmet of Earthen Fortitude</v>
      </c>
      <c r="B480" s="2" t="str">
        <f>IFERROR(__xludf.DUMMYFUNCTION("""COMPUTED_VALUE"""),"Mob Exclusive")</f>
        <v>Mob Exclusive</v>
      </c>
      <c r="C480" s="2"/>
      <c r="D480" s="2" t="str">
        <f>IFERROR(__xludf.DUMMYFUNCTION("""COMPUTED_VALUE"""),"Head")</f>
        <v>Head</v>
      </c>
      <c r="E480" s="2">
        <f>IFERROR(__xludf.DUMMYFUNCTION("""COMPUTED_VALUE"""),200.0)</f>
        <v>200</v>
      </c>
      <c r="F480" s="2" t="str">
        <f>IFERROR(__xludf.DUMMYFUNCTION("""COMPUTED_VALUE"""),"DEF: +50000, Fire DEF: +35000, Celestial DEF: +50000 ++X2 Earth Damage for self. ++X2 Defense for self. ++Godly Authority: 50% chance to possess one enemy once per battle.")</f>
        <v>DEF: +50000, Fire DEF: +35000, Celestial DEF: +50000 ++X2 Earth Damage for self. ++X2 Defense for self. ++Godly Authority: 50% chance to possess one enemy once per battle.</v>
      </c>
      <c r="G480" s="2">
        <f>IFERROR(__xludf.DUMMYFUNCTION("""COMPUTED_VALUE"""),3.6315E8)</f>
        <v>363150000</v>
      </c>
      <c r="H480" s="2"/>
      <c r="I480" s="2"/>
      <c r="J480" s="2"/>
      <c r="K480" s="2"/>
      <c r="L480" s="2"/>
      <c r="M480" s="2"/>
      <c r="N480" s="2"/>
      <c r="O480" s="2"/>
      <c r="P480" s="2"/>
      <c r="Q480" s="2"/>
      <c r="R480" s="2"/>
      <c r="S480" s="2"/>
      <c r="T480" s="2"/>
      <c r="U480" s="2"/>
      <c r="V480" s="2"/>
      <c r="W480" s="2"/>
      <c r="X480" s="2"/>
      <c r="Y480" s="2"/>
      <c r="Z480" s="2"/>
    </row>
    <row r="481">
      <c r="A481" s="2" t="str">
        <f>IFERROR(__xludf.DUMMYFUNCTION("""COMPUTED_VALUE"""),"Gaia's Pendant")</f>
        <v>Gaia's Pendant</v>
      </c>
      <c r="B481" s="2" t="str">
        <f>IFERROR(__xludf.DUMMYFUNCTION("""COMPUTED_VALUE"""),"Mob Exclusive")</f>
        <v>Mob Exclusive</v>
      </c>
      <c r="C481" s="2"/>
      <c r="D481" s="2" t="str">
        <f>IFERROR(__xludf.DUMMYFUNCTION("""COMPUTED_VALUE"""),"Neck")</f>
        <v>Neck</v>
      </c>
      <c r="E481" s="2">
        <f>IFERROR(__xludf.DUMMYFUNCTION("""COMPUTED_VALUE"""),1.0)</f>
        <v>1</v>
      </c>
      <c r="F481" s="2" t="str">
        <f>IFERROR(__xludf.DUMMYFUNCTION("""COMPUTED_VALUE""")," ++Revives entire party upon death of the wearer. +-one use per battle")</f>
        <v> ++Revives entire party upon death of the wearer. +-one use per battle</v>
      </c>
      <c r="G481" s="2">
        <f>IFERROR(__xludf.DUMMYFUNCTION("""COMPUTED_VALUE"""),0.0)</f>
        <v>0</v>
      </c>
      <c r="H481" s="2"/>
      <c r="I481" s="2"/>
      <c r="J481" s="2"/>
      <c r="K481" s="2"/>
      <c r="L481" s="2"/>
      <c r="M481" s="2"/>
      <c r="N481" s="2"/>
      <c r="O481" s="2"/>
      <c r="P481" s="2"/>
      <c r="Q481" s="2"/>
      <c r="R481" s="2"/>
      <c r="S481" s="2"/>
      <c r="T481" s="2"/>
      <c r="U481" s="2"/>
      <c r="V481" s="2"/>
      <c r="W481" s="2"/>
      <c r="X481" s="2"/>
      <c r="Y481" s="2"/>
      <c r="Z481" s="2"/>
    </row>
    <row r="482">
      <c r="A482" s="2" t="str">
        <f>IFERROR(__xludf.DUMMYFUNCTION("""COMPUTED_VALUE"""),"Gaia's Sandals of Earthen Fortitude")</f>
        <v>Gaia's Sandals of Earthen Fortitude</v>
      </c>
      <c r="B482" s="2" t="str">
        <f>IFERROR(__xludf.DUMMYFUNCTION("""COMPUTED_VALUE"""),"Mob Exclusive")</f>
        <v>Mob Exclusive</v>
      </c>
      <c r="C482" s="2"/>
      <c r="D482" s="2" t="str">
        <f>IFERROR(__xludf.DUMMYFUNCTION("""COMPUTED_VALUE"""),"Feet")</f>
        <v>Feet</v>
      </c>
      <c r="E482" s="2">
        <f>IFERROR(__xludf.DUMMYFUNCTION("""COMPUTED_VALUE"""),200.0)</f>
        <v>200</v>
      </c>
      <c r="F482" s="2" t="str">
        <f>IFERROR(__xludf.DUMMYFUNCTION("""COMPUTED_VALUE"""),"DEF: +50000, Fire DEF: +35000, Celestial DEF: +50000 ++X2 Earth Damage for self. ++X2 Defense for self")</f>
        <v>DEF: +50000, Fire DEF: +35000, Celestial DEF: +50000 ++X2 Earth Damage for self. ++X2 Defense for self</v>
      </c>
      <c r="G482" s="2">
        <f>IFERROR(__xludf.DUMMYFUNCTION("""COMPUTED_VALUE"""),3.6315E8)</f>
        <v>363150000</v>
      </c>
      <c r="H482" s="2"/>
      <c r="I482" s="2"/>
      <c r="J482" s="2"/>
      <c r="K482" s="2"/>
      <c r="L482" s="2"/>
      <c r="M482" s="2"/>
      <c r="N482" s="2"/>
      <c r="O482" s="2"/>
      <c r="P482" s="2"/>
      <c r="Q482" s="2"/>
      <c r="R482" s="2"/>
      <c r="S482" s="2"/>
      <c r="T482" s="2"/>
      <c r="U482" s="2"/>
      <c r="V482" s="2"/>
      <c r="W482" s="2"/>
      <c r="X482" s="2"/>
      <c r="Y482" s="2"/>
      <c r="Z482" s="2"/>
    </row>
    <row r="483">
      <c r="A483" s="2" t="str">
        <f>IFERROR(__xludf.DUMMYFUNCTION("""COMPUTED_VALUE"""),"Gaia's Gloves")</f>
        <v>Gaia's Gloves</v>
      </c>
      <c r="B483" s="2" t="str">
        <f>IFERROR(__xludf.DUMMYFUNCTION("""COMPUTED_VALUE"""),"Mob Exclusive")</f>
        <v>Mob Exclusive</v>
      </c>
      <c r="C483" s="2"/>
      <c r="D483" s="2" t="str">
        <f>IFERROR(__xludf.DUMMYFUNCTION("""COMPUTED_VALUE"""),"Arms")</f>
        <v>Arms</v>
      </c>
      <c r="E483" s="2">
        <f>IFERROR(__xludf.DUMMYFUNCTION("""COMPUTED_VALUE"""),200.0)</f>
        <v>200</v>
      </c>
      <c r="F483" s="2" t="str">
        <f>IFERROR(__xludf.DUMMYFUNCTION("""COMPUTED_VALUE"""),"DEF: +50000, Fire DEF: +35000, Celestial DEF: +50000 ++X2 Earth Damage for self. ++X2 Defense for self")</f>
        <v>DEF: +50000, Fire DEF: +35000, Celestial DEF: +50000 ++X2 Earth Damage for self. ++X2 Defense for self</v>
      </c>
      <c r="G483" s="2">
        <f>IFERROR(__xludf.DUMMYFUNCTION("""COMPUTED_VALUE"""),3.6315E8)</f>
        <v>363150000</v>
      </c>
      <c r="H483" s="2"/>
      <c r="I483" s="2"/>
      <c r="J483" s="2"/>
      <c r="K483" s="2"/>
      <c r="L483" s="2"/>
      <c r="M483" s="2"/>
      <c r="N483" s="2"/>
      <c r="O483" s="2"/>
      <c r="P483" s="2"/>
      <c r="Q483" s="2"/>
      <c r="R483" s="2"/>
      <c r="S483" s="2"/>
      <c r="T483" s="2"/>
      <c r="U483" s="2"/>
      <c r="V483" s="2"/>
      <c r="W483" s="2"/>
      <c r="X483" s="2"/>
      <c r="Y483" s="2"/>
      <c r="Z483" s="2"/>
    </row>
    <row r="484">
      <c r="A484" s="2" t="str">
        <f>IFERROR(__xludf.DUMMYFUNCTION("""COMPUTED_VALUE"""),"Gaia's Gaiters")</f>
        <v>Gaia's Gaiters</v>
      </c>
      <c r="B484" s="2" t="str">
        <f>IFERROR(__xludf.DUMMYFUNCTION("""COMPUTED_VALUE"""),"Mob Exclusive")</f>
        <v>Mob Exclusive</v>
      </c>
      <c r="C484" s="2"/>
      <c r="D484" s="2" t="str">
        <f>IFERROR(__xludf.DUMMYFUNCTION("""COMPUTED_VALUE"""),"Legs")</f>
        <v>Legs</v>
      </c>
      <c r="E484" s="2">
        <f>IFERROR(__xludf.DUMMYFUNCTION("""COMPUTED_VALUE"""),200.0)</f>
        <v>200</v>
      </c>
      <c r="F484" s="2" t="str">
        <f>IFERROR(__xludf.DUMMYFUNCTION("""COMPUTED_VALUE"""),"DEF: +50000, Fire DEF: +35000, Celestial DEF: +50000 ++X2 Earth Damage for self. ++X2 Defense for self")</f>
        <v>DEF: +50000, Fire DEF: +35000, Celestial DEF: +50000 ++X2 Earth Damage for self. ++X2 Defense for self</v>
      </c>
      <c r="G484" s="2">
        <f>IFERROR(__xludf.DUMMYFUNCTION("""COMPUTED_VALUE"""),3.6315E8)</f>
        <v>363150000</v>
      </c>
      <c r="H484" s="2"/>
      <c r="I484" s="2"/>
      <c r="J484" s="2"/>
      <c r="K484" s="2"/>
      <c r="L484" s="2"/>
      <c r="M484" s="2"/>
      <c r="N484" s="2"/>
      <c r="O484" s="2"/>
      <c r="P484" s="2"/>
      <c r="Q484" s="2"/>
      <c r="R484" s="2"/>
      <c r="S484" s="2"/>
      <c r="T484" s="2"/>
      <c r="U484" s="2"/>
      <c r="V484" s="2"/>
      <c r="W484" s="2"/>
      <c r="X484" s="2"/>
      <c r="Y484" s="2"/>
      <c r="Z484" s="2"/>
    </row>
    <row r="485">
      <c r="A485" s="2" t="str">
        <f>IFERROR(__xludf.DUMMYFUNCTION("""COMPUTED_VALUE"""),"Gaia's Pauldrons")</f>
        <v>Gaia's Pauldrons</v>
      </c>
      <c r="B485" s="2" t="str">
        <f>IFERROR(__xludf.DUMMYFUNCTION("""COMPUTED_VALUE"""),"Mob Exclusive")</f>
        <v>Mob Exclusive</v>
      </c>
      <c r="C485" s="2"/>
      <c r="D485" s="2" t="str">
        <f>IFERROR(__xludf.DUMMYFUNCTION("""COMPUTED_VALUE"""),"Shoulders")</f>
        <v>Shoulders</v>
      </c>
      <c r="E485" s="2">
        <f>IFERROR(__xludf.DUMMYFUNCTION("""COMPUTED_VALUE"""),200.0)</f>
        <v>200</v>
      </c>
      <c r="F485" s="2" t="str">
        <f>IFERROR(__xludf.DUMMYFUNCTION("""COMPUTED_VALUE"""),"DEF: +50000, Fire DEF: +35000, Celestial DEF: +50000 ++X2 Earth Damage for self. ++X2 Defense for self")</f>
        <v>DEF: +50000, Fire DEF: +35000, Celestial DEF: +50000 ++X2 Earth Damage for self. ++X2 Defense for self</v>
      </c>
      <c r="G485" s="2">
        <f>IFERROR(__xludf.DUMMYFUNCTION("""COMPUTED_VALUE"""),3.6315E8)</f>
        <v>363150000</v>
      </c>
      <c r="H485" s="2"/>
      <c r="I485" s="2"/>
      <c r="J485" s="2"/>
      <c r="K485" s="2"/>
      <c r="L485" s="2"/>
      <c r="M485" s="2"/>
      <c r="N485" s="2"/>
      <c r="O485" s="2"/>
      <c r="P485" s="2"/>
      <c r="Q485" s="2"/>
      <c r="R485" s="2"/>
      <c r="S485" s="2"/>
      <c r="T485" s="2"/>
      <c r="U485" s="2"/>
      <c r="V485" s="2"/>
      <c r="W485" s="2"/>
      <c r="X485" s="2"/>
      <c r="Y485" s="2"/>
      <c r="Z485" s="2"/>
    </row>
    <row r="486">
      <c r="A486" s="2" t="str">
        <f>IFERROR(__xludf.DUMMYFUNCTION("""COMPUTED_VALUE"""),"Gaia's Chestpiece")</f>
        <v>Gaia's Chestpiece</v>
      </c>
      <c r="B486" s="2" t="str">
        <f>IFERROR(__xludf.DUMMYFUNCTION("""COMPUTED_VALUE"""),"Mob Exclusive")</f>
        <v>Mob Exclusive</v>
      </c>
      <c r="C486" s="2"/>
      <c r="D486" s="2" t="str">
        <f>IFERROR(__xludf.DUMMYFUNCTION("""COMPUTED_VALUE"""),"Torso")</f>
        <v>Torso</v>
      </c>
      <c r="E486" s="2">
        <f>IFERROR(__xludf.DUMMYFUNCTION("""COMPUTED_VALUE"""),200.0)</f>
        <v>200</v>
      </c>
      <c r="F486" s="2" t="str">
        <f>IFERROR(__xludf.DUMMYFUNCTION("""COMPUTED_VALUE"""),"DEF: +100000, Fire DEF: +70000, Celestial DEF: +100000 ++X2 Earth Damage for self. ++X2 Defense for self")</f>
        <v>DEF: +100000, Fire DEF: +70000, Celestial DEF: +100000 ++X2 Earth Damage for self. ++X2 Defense for self</v>
      </c>
      <c r="G486" s="2">
        <f>IFERROR(__xludf.DUMMYFUNCTION("""COMPUTED_VALUE"""),1.4553E9)</f>
        <v>1455300000</v>
      </c>
      <c r="H486" s="2"/>
      <c r="I486" s="2"/>
      <c r="J486" s="2"/>
      <c r="K486" s="2"/>
      <c r="L486" s="2"/>
      <c r="M486" s="2"/>
      <c r="N486" s="2"/>
      <c r="O486" s="2"/>
      <c r="P486" s="2"/>
      <c r="Q486" s="2"/>
      <c r="R486" s="2"/>
      <c r="S486" s="2"/>
      <c r="T486" s="2"/>
      <c r="U486" s="2"/>
      <c r="V486" s="2"/>
      <c r="W486" s="2"/>
      <c r="X486" s="2"/>
      <c r="Y486" s="2"/>
      <c r="Z486" s="2"/>
    </row>
    <row r="487">
      <c r="A487" s="2" t="str">
        <f>IFERROR(__xludf.DUMMYFUNCTION("""COMPUTED_VALUE"""),"Gaia's Ring")</f>
        <v>Gaia's Ring</v>
      </c>
      <c r="B487" s="2" t="str">
        <f>IFERROR(__xludf.DUMMYFUNCTION("""COMPUTED_VALUE"""),"Mob Exclusive")</f>
        <v>Mob Exclusive</v>
      </c>
      <c r="C487" s="2"/>
      <c r="D487" s="2" t="str">
        <f>IFERROR(__xludf.DUMMYFUNCTION("""COMPUTED_VALUE"""),"Ring")</f>
        <v>Ring</v>
      </c>
      <c r="E487" s="2">
        <f>IFERROR(__xludf.DUMMYFUNCTION("""COMPUTED_VALUE"""),1.0)</f>
        <v>1</v>
      </c>
      <c r="F487" s="2" t="str">
        <f>IFERROR(__xludf.DUMMYFUNCTION("""COMPUTED_VALUE""")," ++X4 defense for self and allies, 50 sp")</f>
        <v> ++X4 defense for self and allies, 50 sp</v>
      </c>
      <c r="G487" s="2">
        <f>IFERROR(__xludf.DUMMYFUNCTION("""COMPUTED_VALUE"""),0.0)</f>
        <v>0</v>
      </c>
      <c r="H487" s="2"/>
      <c r="I487" s="2"/>
      <c r="J487" s="2"/>
      <c r="K487" s="2"/>
      <c r="L487" s="2"/>
      <c r="M487" s="2"/>
      <c r="N487" s="2"/>
      <c r="O487" s="2"/>
      <c r="P487" s="2"/>
      <c r="Q487" s="2"/>
      <c r="R487" s="2"/>
      <c r="S487" s="2"/>
      <c r="T487" s="2"/>
      <c r="U487" s="2"/>
      <c r="V487" s="2"/>
      <c r="W487" s="2"/>
      <c r="X487" s="2"/>
      <c r="Y487" s="2"/>
      <c r="Z487" s="2"/>
    </row>
    <row r="488">
      <c r="A488" s="2" t="str">
        <f>IFERROR(__xludf.DUMMYFUNCTION("""COMPUTED_VALUE"""),"Paladin of Gaia's Bucket helm of Tenacity")</f>
        <v>Paladin of Gaia's Bucket helm of Tenacity</v>
      </c>
      <c r="B488" s="2" t="str">
        <f>IFERROR(__xludf.DUMMYFUNCTION("""COMPUTED_VALUE"""),"Quest Item")</f>
        <v>Quest Item</v>
      </c>
      <c r="C488" s="2"/>
      <c r="D488" s="2" t="str">
        <f>IFERROR(__xludf.DUMMYFUNCTION("""COMPUTED_VALUE"""),"Head")</f>
        <v>Head</v>
      </c>
      <c r="E488" s="2">
        <f>IFERROR(__xludf.DUMMYFUNCTION("""COMPUTED_VALUE"""),200.0)</f>
        <v>200</v>
      </c>
      <c r="F488" s="2" t="str">
        <f>IFERROR(__xludf.DUMMYFUNCTION("""COMPUTED_VALUE"""),"DEF: +20000, Fire DEF: +5000, Earth DEF: +35000, Celestial DEF: +20000 ++Gaia's Tenacity II: 10% Chance to revive after death +-Cannot be forged +-Cannot be duplicated +-(Paladin or Knight Class Only)")</f>
        <v>DEF: +20000, Fire DEF: +5000, Earth DEF: +35000, Celestial DEF: +20000 ++Gaia's Tenacity II: 10% Chance to revive after death +-Cannot be forged +-Cannot be duplicated +-(Paladin or Knight Class Only)</v>
      </c>
      <c r="G488" s="2">
        <f>IFERROR(__xludf.DUMMYFUNCTION("""COMPUTED_VALUE"""),1.272E8)</f>
        <v>127200000</v>
      </c>
      <c r="H488" s="2"/>
      <c r="I488" s="2"/>
      <c r="J488" s="2"/>
      <c r="K488" s="2"/>
      <c r="L488" s="2"/>
      <c r="M488" s="2"/>
      <c r="N488" s="2"/>
      <c r="O488" s="2"/>
      <c r="P488" s="2"/>
      <c r="Q488" s="2"/>
      <c r="R488" s="2"/>
      <c r="S488" s="2"/>
      <c r="T488" s="2"/>
      <c r="U488" s="2"/>
      <c r="V488" s="2"/>
      <c r="W488" s="2"/>
      <c r="X488" s="2"/>
      <c r="Y488" s="2"/>
      <c r="Z488" s="2"/>
    </row>
    <row r="489">
      <c r="A489" s="2" t="str">
        <f>IFERROR(__xludf.DUMMYFUNCTION("""COMPUTED_VALUE"""),"Paladin of Gaia's Stone Pauldrons")</f>
        <v>Paladin of Gaia's Stone Pauldrons</v>
      </c>
      <c r="B489" s="2" t="str">
        <f>IFERROR(__xludf.DUMMYFUNCTION("""COMPUTED_VALUE"""),"Quest Item")</f>
        <v>Quest Item</v>
      </c>
      <c r="C489" s="2"/>
      <c r="D489" s="2" t="str">
        <f>IFERROR(__xludf.DUMMYFUNCTION("""COMPUTED_VALUE"""),"Shoulders")</f>
        <v>Shoulders</v>
      </c>
      <c r="E489" s="2">
        <f>IFERROR(__xludf.DUMMYFUNCTION("""COMPUTED_VALUE"""),200.0)</f>
        <v>200</v>
      </c>
      <c r="F489" s="2" t="str">
        <f>IFERROR(__xludf.DUMMYFUNCTION("""COMPUTED_VALUE"""),"DEF: +20000, Fire DEF: +5000, Earth DEF: +35000, Celestial DEF: +20000 ++Blessing of Stone I: 2X Earth Damage +-(Paladin or Knight Class Only)")</f>
        <v>DEF: +20000, Fire DEF: +5000, Earth DEF: +35000, Celestial DEF: +20000 ++Blessing of Stone I: 2X Earth Damage +-(Paladin or Knight Class Only)</v>
      </c>
      <c r="G489" s="2">
        <f>IFERROR(__xludf.DUMMYFUNCTION("""COMPUTED_VALUE"""),1.272E8)</f>
        <v>127200000</v>
      </c>
      <c r="H489" s="2"/>
      <c r="I489" s="2"/>
      <c r="J489" s="2"/>
      <c r="K489" s="2"/>
      <c r="L489" s="2"/>
      <c r="M489" s="2"/>
      <c r="N489" s="2"/>
      <c r="O489" s="2"/>
      <c r="P489" s="2"/>
      <c r="Q489" s="2"/>
      <c r="R489" s="2"/>
      <c r="S489" s="2"/>
      <c r="T489" s="2"/>
      <c r="U489" s="2"/>
      <c r="V489" s="2"/>
      <c r="W489" s="2"/>
      <c r="X489" s="2"/>
      <c r="Y489" s="2"/>
      <c r="Z489" s="2"/>
    </row>
    <row r="490">
      <c r="A490" s="2" t="str">
        <f>IFERROR(__xludf.DUMMYFUNCTION("""COMPUTED_VALUE"""),"Paladin of Gaia's Emblazoned Chestpiece")</f>
        <v>Paladin of Gaia's Emblazoned Chestpiece</v>
      </c>
      <c r="B490" s="2" t="str">
        <f>IFERROR(__xludf.DUMMYFUNCTION("""COMPUTED_VALUE"""),"Quest Item")</f>
        <v>Quest Item</v>
      </c>
      <c r="C490" s="2"/>
      <c r="D490" s="2" t="str">
        <f>IFERROR(__xludf.DUMMYFUNCTION("""COMPUTED_VALUE"""),"Torso")</f>
        <v>Torso</v>
      </c>
      <c r="E490" s="2">
        <f>IFERROR(__xludf.DUMMYFUNCTION("""COMPUTED_VALUE"""),200.0)</f>
        <v>200</v>
      </c>
      <c r="F490" s="2" t="str">
        <f>IFERROR(__xludf.DUMMYFUNCTION("""COMPUTED_VALUE"""),"DEF: +50000, Fire DEF: +20000, Earth DEF: +70000, Celestial DEF: +50000 ++X2 defense for self and allies +-Paladin or Knight Class Only +-Can only equip one")</f>
        <v>DEF: +50000, Fire DEF: +20000, Earth DEF: +70000, Celestial DEF: +50000 ++X2 defense for self and allies +-Paladin or Knight Class Only +-Can only equip one</v>
      </c>
      <c r="G490" s="2">
        <f>IFERROR(__xludf.DUMMYFUNCTION("""COMPUTED_VALUE"""),7.201E8)</f>
        <v>720100000</v>
      </c>
      <c r="H490" s="2"/>
      <c r="I490" s="2"/>
      <c r="J490" s="2"/>
      <c r="K490" s="2"/>
      <c r="L490" s="2"/>
      <c r="M490" s="2"/>
      <c r="N490" s="2"/>
      <c r="O490" s="2"/>
      <c r="P490" s="2"/>
      <c r="Q490" s="2"/>
      <c r="R490" s="2"/>
      <c r="S490" s="2"/>
      <c r="T490" s="2"/>
      <c r="U490" s="2"/>
      <c r="V490" s="2"/>
      <c r="W490" s="2"/>
      <c r="X490" s="2"/>
      <c r="Y490" s="2"/>
      <c r="Z490" s="2"/>
    </row>
    <row r="491">
      <c r="A491" s="2" t="str">
        <f>IFERROR(__xludf.DUMMYFUNCTION("""COMPUTED_VALUE"""),"Paladin of Gaia's Vambraces")</f>
        <v>Paladin of Gaia's Vambraces</v>
      </c>
      <c r="B491" s="2" t="str">
        <f>IFERROR(__xludf.DUMMYFUNCTION("""COMPUTED_VALUE"""),"Quest Item")</f>
        <v>Quest Item</v>
      </c>
      <c r="C491" s="2"/>
      <c r="D491" s="2" t="str">
        <f>IFERROR(__xludf.DUMMYFUNCTION("""COMPUTED_VALUE"""),"Arms")</f>
        <v>Arms</v>
      </c>
      <c r="E491" s="2">
        <f>IFERROR(__xludf.DUMMYFUNCTION("""COMPUTED_VALUE"""),200.0)</f>
        <v>200</v>
      </c>
      <c r="F491" s="2" t="str">
        <f>IFERROR(__xludf.DUMMYFUNCTION("""COMPUTED_VALUE"""),"DEF: +20000, Fire DEF: +5000, Earth DEF: +35000, Celestial DEF: +20000 ++X2 defense for self and allies +-Paladin or Knight Class Only +-Can only equip one")</f>
        <v>DEF: +20000, Fire DEF: +5000, Earth DEF: +35000, Celestial DEF: +20000 ++X2 defense for self and allies +-Paladin or Knight Class Only +-Can only equip one</v>
      </c>
      <c r="G491" s="2">
        <f>IFERROR(__xludf.DUMMYFUNCTION("""COMPUTED_VALUE"""),1.272E8)</f>
        <v>127200000</v>
      </c>
      <c r="H491" s="2"/>
      <c r="I491" s="2"/>
      <c r="J491" s="2"/>
      <c r="K491" s="2"/>
      <c r="L491" s="2"/>
      <c r="M491" s="2"/>
      <c r="N491" s="2"/>
      <c r="O491" s="2"/>
      <c r="P491" s="2"/>
      <c r="Q491" s="2"/>
      <c r="R491" s="2"/>
      <c r="S491" s="2"/>
      <c r="T491" s="2"/>
      <c r="U491" s="2"/>
      <c r="V491" s="2"/>
      <c r="W491" s="2"/>
      <c r="X491" s="2"/>
      <c r="Y491" s="2"/>
      <c r="Z491" s="2"/>
    </row>
    <row r="492">
      <c r="A492" s="2" t="str">
        <f>IFERROR(__xludf.DUMMYFUNCTION("""COMPUTED_VALUE"""),"Paladin of Gaia's Plate Chausses")</f>
        <v>Paladin of Gaia's Plate Chausses</v>
      </c>
      <c r="B492" s="2" t="str">
        <f>IFERROR(__xludf.DUMMYFUNCTION("""COMPUTED_VALUE"""),"Quest Item")</f>
        <v>Quest Item</v>
      </c>
      <c r="C492" s="2"/>
      <c r="D492" s="2" t="str">
        <f>IFERROR(__xludf.DUMMYFUNCTION("""COMPUTED_VALUE"""),"Legs")</f>
        <v>Legs</v>
      </c>
      <c r="E492" s="2">
        <f>IFERROR(__xludf.DUMMYFUNCTION("""COMPUTED_VALUE"""),200.0)</f>
        <v>200</v>
      </c>
      <c r="F492" s="2" t="str">
        <f>IFERROR(__xludf.DUMMYFUNCTION("""COMPUTED_VALUE"""),"DEF: +20000, Fire DEF: +5000, Earth DEF: +35000, Celestial DEF: +20000 ++Blessing of Stone I: 2X Earth Damage +-Paladin or Knight Class Only +-Can only equip one")</f>
        <v>DEF: +20000, Fire DEF: +5000, Earth DEF: +35000, Celestial DEF: +20000 ++Blessing of Stone I: 2X Earth Damage +-Paladin or Knight Class Only +-Can only equip one</v>
      </c>
      <c r="G492" s="2">
        <f>IFERROR(__xludf.DUMMYFUNCTION("""COMPUTED_VALUE"""),1.272E8)</f>
        <v>127200000</v>
      </c>
      <c r="H492" s="2"/>
      <c r="I492" s="2"/>
      <c r="J492" s="2"/>
      <c r="K492" s="2"/>
      <c r="L492" s="2"/>
      <c r="M492" s="2"/>
      <c r="N492" s="2"/>
      <c r="O492" s="2"/>
      <c r="P492" s="2"/>
      <c r="Q492" s="2"/>
      <c r="R492" s="2"/>
      <c r="S492" s="2"/>
      <c r="T492" s="2"/>
      <c r="U492" s="2"/>
      <c r="V492" s="2"/>
      <c r="W492" s="2"/>
      <c r="X492" s="2"/>
      <c r="Y492" s="2"/>
      <c r="Z492" s="2"/>
    </row>
    <row r="493">
      <c r="A493" s="2" t="str">
        <f>IFERROR(__xludf.DUMMYFUNCTION("""COMPUTED_VALUE"""),"Paladin of Gaia's Sabatons")</f>
        <v>Paladin of Gaia's Sabatons</v>
      </c>
      <c r="B493" s="2" t="str">
        <f>IFERROR(__xludf.DUMMYFUNCTION("""COMPUTED_VALUE"""),"Quest Item")</f>
        <v>Quest Item</v>
      </c>
      <c r="C493" s="2"/>
      <c r="D493" s="2" t="str">
        <f>IFERROR(__xludf.DUMMYFUNCTION("""COMPUTED_VALUE"""),"Feet")</f>
        <v>Feet</v>
      </c>
      <c r="E493" s="2">
        <f>IFERROR(__xludf.DUMMYFUNCTION("""COMPUTED_VALUE"""),200.0)</f>
        <v>200</v>
      </c>
      <c r="F493" s="2" t="str">
        <f>IFERROR(__xludf.DUMMYFUNCTION("""COMPUTED_VALUE"""),"DEF: +20000, Fire DEF: +5000, Earth DEF: +35000, Celestial DEF: +20000 ++Blessing of Stone I: 2X Earth Damage +-Paladin or Knight Class Only +-Can only equip one")</f>
        <v>DEF: +20000, Fire DEF: +5000, Earth DEF: +35000, Celestial DEF: +20000 ++Blessing of Stone I: 2X Earth Damage +-Paladin or Knight Class Only +-Can only equip one</v>
      </c>
      <c r="G493" s="2">
        <f>IFERROR(__xludf.DUMMYFUNCTION("""COMPUTED_VALUE"""),1.272E8)</f>
        <v>127200000</v>
      </c>
      <c r="H493" s="2"/>
      <c r="I493" s="2"/>
      <c r="J493" s="2"/>
      <c r="K493" s="2"/>
      <c r="L493" s="2"/>
      <c r="M493" s="2"/>
      <c r="N493" s="2"/>
      <c r="O493" s="2"/>
      <c r="P493" s="2"/>
      <c r="Q493" s="2"/>
      <c r="R493" s="2"/>
      <c r="S493" s="2"/>
      <c r="T493" s="2"/>
      <c r="U493" s="2"/>
      <c r="V493" s="2"/>
      <c r="W493" s="2"/>
      <c r="X493" s="2"/>
      <c r="Y493" s="2"/>
      <c r="Z493" s="2"/>
    </row>
    <row r="494">
      <c r="A494" s="2" t="str">
        <f>IFERROR(__xludf.DUMMYFUNCTION("""COMPUTED_VALUE"""),"Paladin of Gaia's Ruby Ring")</f>
        <v>Paladin of Gaia's Ruby Ring</v>
      </c>
      <c r="B494" s="2" t="str">
        <f>IFERROR(__xludf.DUMMYFUNCTION("""COMPUTED_VALUE"""),"Quest Item")</f>
        <v>Quest Item</v>
      </c>
      <c r="C494" s="2"/>
      <c r="D494" s="2" t="str">
        <f>IFERROR(__xludf.DUMMYFUNCTION("""COMPUTED_VALUE"""),"Ring")</f>
        <v>Ring</v>
      </c>
      <c r="E494" s="2">
        <f>IFERROR(__xludf.DUMMYFUNCTION("""COMPUTED_VALUE"""),1.0)</f>
        <v>1</v>
      </c>
      <c r="F494" s="2" t="str">
        <f>IFERROR(__xludf.DUMMYFUNCTION("""COMPUTED_VALUE""")," ++Blessing of Stone II: 4X Earth Damage 
++Gaia's Tenacity I: 5% chance to revive after death +-Paladin or Knight Class Only +-Cannot be forged +-Cannot be duplicated +-Can only equip one")</f>
        <v> ++Blessing of Stone II: 4X Earth Damage 
++Gaia's Tenacity I: 5% chance to revive after death +-Paladin or Knight Class Only +-Cannot be forged +-Cannot be duplicated +-Can only equip one</v>
      </c>
      <c r="G494" s="2">
        <f>IFERROR(__xludf.DUMMYFUNCTION("""COMPUTED_VALUE"""),0.0)</f>
        <v>0</v>
      </c>
      <c r="H494" s="2"/>
      <c r="I494" s="2"/>
      <c r="J494" s="2"/>
      <c r="K494" s="2"/>
      <c r="L494" s="2"/>
      <c r="M494" s="2"/>
      <c r="N494" s="2"/>
      <c r="O494" s="2"/>
      <c r="P494" s="2"/>
      <c r="Q494" s="2"/>
      <c r="R494" s="2"/>
      <c r="S494" s="2"/>
      <c r="T494" s="2"/>
      <c r="U494" s="2"/>
      <c r="V494" s="2"/>
      <c r="W494" s="2"/>
      <c r="X494" s="2"/>
      <c r="Y494" s="2"/>
      <c r="Z494" s="2"/>
    </row>
    <row r="495">
      <c r="A495" s="2" t="str">
        <f>IFERROR(__xludf.DUMMYFUNCTION("""COMPUTED_VALUE"""),"Paladin of Gaia's Emerald Pendant")</f>
        <v>Paladin of Gaia's Emerald Pendant</v>
      </c>
      <c r="B495" s="2" t="str">
        <f>IFERROR(__xludf.DUMMYFUNCTION("""COMPUTED_VALUE"""),"Quest Item")</f>
        <v>Quest Item</v>
      </c>
      <c r="C495" s="2"/>
      <c r="D495" s="2" t="str">
        <f>IFERROR(__xludf.DUMMYFUNCTION("""COMPUTED_VALUE"""),"Neck")</f>
        <v>Neck</v>
      </c>
      <c r="E495" s="2">
        <f>IFERROR(__xludf.DUMMYFUNCTION("""COMPUTED_VALUE"""),1.0)</f>
        <v>1</v>
      </c>
      <c r="F495" s="2" t="str">
        <f>IFERROR(__xludf.DUMMYFUNCTION("""COMPUTED_VALUE""")," ++Blessing of Stone II: 4X Earth Damage 
++Gaia's Blessing I: 4X defense for self and allies 100 sp (Once per battle) +-(Paladin or Knight Class Only)")</f>
        <v> ++Blessing of Stone II: 4X Earth Damage 
++Gaia's Blessing I: 4X defense for self and allies 100 sp (Once per battle) +-(Paladin or Knight Class Only)</v>
      </c>
      <c r="G495" s="2">
        <f>IFERROR(__xludf.DUMMYFUNCTION("""COMPUTED_VALUE"""),0.0)</f>
        <v>0</v>
      </c>
      <c r="H495" s="2"/>
      <c r="I495" s="2"/>
      <c r="J495" s="2"/>
      <c r="K495" s="2"/>
      <c r="L495" s="2"/>
      <c r="M495" s="2"/>
      <c r="N495" s="2"/>
      <c r="O495" s="2"/>
      <c r="P495" s="2"/>
      <c r="Q495" s="2"/>
      <c r="R495" s="2"/>
      <c r="S495" s="2"/>
      <c r="T495" s="2"/>
      <c r="U495" s="2"/>
      <c r="V495" s="2"/>
      <c r="W495" s="2"/>
      <c r="X495" s="2"/>
      <c r="Y495" s="2"/>
      <c r="Z495" s="2"/>
    </row>
    <row r="496">
      <c r="A496" s="2" t="str">
        <f>IFERROR(__xludf.DUMMYFUNCTION("""COMPUTED_VALUE"""),"The Blacksmith's Forged Battleaxe ")</f>
        <v>The Blacksmith's Forged Battleaxe </v>
      </c>
      <c r="B496" s="2" t="str">
        <f>IFERROR(__xludf.DUMMYFUNCTION("""COMPUTED_VALUE"""),"Mob Exclusive")</f>
        <v>Mob Exclusive</v>
      </c>
      <c r="C496" s="2" t="str">
        <f>IFERROR(__xludf.DUMMYFUNCTION("""COMPUTED_VALUE"""),"Axe")</f>
        <v>Axe</v>
      </c>
      <c r="D496" s="2" t="str">
        <f>IFERROR(__xludf.DUMMYFUNCTION("""COMPUTED_VALUE"""),"Hand")</f>
        <v>Hand</v>
      </c>
      <c r="E496" s="2">
        <f>IFERROR(__xludf.DUMMYFUNCTION("""COMPUTED_VALUE"""),200.0)</f>
        <v>200</v>
      </c>
      <c r="F496" s="2" t="str">
        <f>IFERROR(__xludf.DUMMYFUNCTION("""COMPUTED_VALUE"""),"DMG: +100000, Fire DMG: +100000, Celestial DMG: +50000 (Hephaestus' Set) ++Forged Fury: Attacks with this weapon hit all enemies (all enemies can roll to evade). ++X2 Weapon damage")</f>
        <v>DMG: +100000, Fire DMG: +100000, Celestial DMG: +50000 (Hephaestus' Set) ++Forged Fury: Attacks with this weapon hit all enemies (all enemies can roll to evade). ++X2 Weapon damage</v>
      </c>
      <c r="G496" s="2">
        <f>IFERROR(__xludf.DUMMYFUNCTION("""COMPUTED_VALUE"""),1.2475E9)</f>
        <v>1247500000</v>
      </c>
      <c r="H496" s="2"/>
      <c r="I496" s="2"/>
      <c r="J496" s="2"/>
      <c r="K496" s="2"/>
      <c r="L496" s="2"/>
      <c r="M496" s="2"/>
      <c r="N496" s="2"/>
      <c r="O496" s="2"/>
      <c r="P496" s="2"/>
      <c r="Q496" s="2"/>
      <c r="R496" s="2"/>
      <c r="S496" s="2"/>
      <c r="T496" s="2"/>
      <c r="U496" s="2"/>
      <c r="V496" s="2"/>
      <c r="W496" s="2"/>
      <c r="X496" s="2"/>
      <c r="Y496" s="2"/>
      <c r="Z496" s="2"/>
    </row>
    <row r="497">
      <c r="A497" s="2" t="str">
        <f>IFERROR(__xludf.DUMMYFUNCTION("""COMPUTED_VALUE"""),"The Blacksmith's Forged Sword")</f>
        <v>The Blacksmith's Forged Sword</v>
      </c>
      <c r="B497" s="2" t="str">
        <f>IFERROR(__xludf.DUMMYFUNCTION("""COMPUTED_VALUE"""),"Mob Exclusive")</f>
        <v>Mob Exclusive</v>
      </c>
      <c r="C497" s="2" t="str">
        <f>IFERROR(__xludf.DUMMYFUNCTION("""COMPUTED_VALUE"""),"Sword")</f>
        <v>Sword</v>
      </c>
      <c r="D497" s="2" t="str">
        <f>IFERROR(__xludf.DUMMYFUNCTION("""COMPUTED_VALUE"""),"Hand")</f>
        <v>Hand</v>
      </c>
      <c r="E497" s="2">
        <f>IFERROR(__xludf.DUMMYFUNCTION("""COMPUTED_VALUE"""),200.0)</f>
        <v>200</v>
      </c>
      <c r="F497" s="2" t="str">
        <f>IFERROR(__xludf.DUMMYFUNCTION("""COMPUTED_VALUE"""),"DMG: +100000, Fire DMG: +100000, Celestial DMG: +50000 (Hephaestus' Set) ++Elemental Gem Slash: This weapon will have a 25% chance each to cast the following powers when attacking with this weapon; Molten Ruby Spikes, Searing Sapphire Strike, Energizing E"&amp;"merald Pulse.")</f>
        <v>DMG: +100000, Fire DMG: +100000, Celestial DMG: +50000 (Hephaestus' Set) ++Elemental Gem Slash: This weapon will have a 25% chance each to cast the following powers when attacking with this weapon; Molten Ruby Spikes, Searing Sapphire Strike, Energizing Emerald Pulse.</v>
      </c>
      <c r="G497" s="2">
        <f>IFERROR(__xludf.DUMMYFUNCTION("""COMPUTED_VALUE"""),1.2475E9)</f>
        <v>1247500000</v>
      </c>
      <c r="H497" s="2"/>
      <c r="I497" s="2"/>
      <c r="J497" s="2"/>
      <c r="K497" s="2"/>
      <c r="L497" s="2"/>
      <c r="M497" s="2"/>
      <c r="N497" s="2"/>
      <c r="O497" s="2"/>
      <c r="P497" s="2"/>
      <c r="Q497" s="2"/>
      <c r="R497" s="2"/>
      <c r="S497" s="2"/>
      <c r="T497" s="2"/>
      <c r="U497" s="2"/>
      <c r="V497" s="2"/>
      <c r="W497" s="2"/>
      <c r="X497" s="2"/>
      <c r="Y497" s="2"/>
      <c r="Z497" s="2"/>
    </row>
    <row r="498">
      <c r="A498" s="2" t="str">
        <f>IFERROR(__xludf.DUMMYFUNCTION("""COMPUTED_VALUE"""),"The Blacksmith's Forged Helmet")</f>
        <v>The Blacksmith's Forged Helmet</v>
      </c>
      <c r="B498" s="2" t="str">
        <f>IFERROR(__xludf.DUMMYFUNCTION("""COMPUTED_VALUE"""),"Mob Exclusive")</f>
        <v>Mob Exclusive</v>
      </c>
      <c r="C498" s="2"/>
      <c r="D498" s="2" t="str">
        <f>IFERROR(__xludf.DUMMYFUNCTION("""COMPUTED_VALUE"""),"Head")</f>
        <v>Head</v>
      </c>
      <c r="E498" s="2">
        <f>IFERROR(__xludf.DUMMYFUNCTION("""COMPUTED_VALUE"""),4000.0)</f>
        <v>4000</v>
      </c>
      <c r="F498" s="2" t="str">
        <f>IFERROR(__xludf.DUMMYFUNCTION("""COMPUTED_VALUE"""),"DEF: +200000 (Hephaestus' Set) ++Immune to freezing. ++Hephaestus' Fury: shoot an eye ray causing 10,000 damage (you cannot dodge this). ++X2 defense for self")</f>
        <v>DEF: +200000 (Hephaestus' Set) ++Immune to freezing. ++Hephaestus' Fury: shoot an eye ray causing 10,000 damage (you cannot dodge this). ++X2 defense for self</v>
      </c>
      <c r="G498" s="2">
        <f>IFERROR(__xludf.DUMMYFUNCTION("""COMPUTED_VALUE"""),7.98E8)</f>
        <v>798000000</v>
      </c>
      <c r="H498" s="2"/>
      <c r="I498" s="2"/>
      <c r="J498" s="2"/>
      <c r="K498" s="2"/>
      <c r="L498" s="2"/>
      <c r="M498" s="2"/>
      <c r="N498" s="2"/>
      <c r="O498" s="2"/>
      <c r="P498" s="2"/>
      <c r="Q498" s="2"/>
      <c r="R498" s="2"/>
      <c r="S498" s="2"/>
      <c r="T498" s="2"/>
      <c r="U498" s="2"/>
      <c r="V498" s="2"/>
      <c r="W498" s="2"/>
      <c r="X498" s="2"/>
      <c r="Y498" s="2"/>
      <c r="Z498" s="2"/>
    </row>
    <row r="499">
      <c r="A499" s="2" t="str">
        <f>IFERROR(__xludf.DUMMYFUNCTION("""COMPUTED_VALUE"""),"The Blacksmith's Forged Pauldrons")</f>
        <v>The Blacksmith's Forged Pauldrons</v>
      </c>
      <c r="B499" s="2" t="str">
        <f>IFERROR(__xludf.DUMMYFUNCTION("""COMPUTED_VALUE"""),"Mob Exclusive")</f>
        <v>Mob Exclusive</v>
      </c>
      <c r="C499" s="2"/>
      <c r="D499" s="2" t="str">
        <f>IFERROR(__xludf.DUMMYFUNCTION("""COMPUTED_VALUE"""),"Shoulders")</f>
        <v>Shoulders</v>
      </c>
      <c r="E499" s="2">
        <f>IFERROR(__xludf.DUMMYFUNCTION("""COMPUTED_VALUE"""),4000.0)</f>
        <v>4000</v>
      </c>
      <c r="F499" s="2" t="str">
        <f>IFERROR(__xludf.DUMMYFUNCTION("""COMPUTED_VALUE"""),"DEF: +200000 (Hephaestus' Set) ++Immune to Celestial. ++When Equipped you are invulnerable to damage unless you attack. ++When you battle with any undead you can deal X2 damage")</f>
        <v>DEF: +200000 (Hephaestus' Set) ++Immune to Celestial. ++When Equipped you are invulnerable to damage unless you attack. ++When you battle with any undead you can deal X2 damage</v>
      </c>
      <c r="G499" s="2">
        <f>IFERROR(__xludf.DUMMYFUNCTION("""COMPUTED_VALUE"""),7.98E8)</f>
        <v>798000000</v>
      </c>
      <c r="H499" s="2"/>
      <c r="I499" s="2"/>
      <c r="J499" s="2"/>
      <c r="K499" s="2"/>
      <c r="L499" s="2"/>
      <c r="M499" s="2"/>
      <c r="N499" s="2"/>
      <c r="O499" s="2"/>
      <c r="P499" s="2"/>
      <c r="Q499" s="2"/>
      <c r="R499" s="2"/>
      <c r="S499" s="2"/>
      <c r="T499" s="2"/>
      <c r="U499" s="2"/>
      <c r="V499" s="2"/>
      <c r="W499" s="2"/>
      <c r="X499" s="2"/>
      <c r="Y499" s="2"/>
      <c r="Z499" s="2"/>
    </row>
    <row r="500">
      <c r="A500" s="2" t="str">
        <f>IFERROR(__xludf.DUMMYFUNCTION("""COMPUTED_VALUE"""),"The Blacksmith's Forged Vambraces")</f>
        <v>The Blacksmith's Forged Vambraces</v>
      </c>
      <c r="B500" s="2" t="str">
        <f>IFERROR(__xludf.DUMMYFUNCTION("""COMPUTED_VALUE"""),"Mob Exclusive")</f>
        <v>Mob Exclusive</v>
      </c>
      <c r="C500" s="2"/>
      <c r="D500" s="2" t="str">
        <f>IFERROR(__xludf.DUMMYFUNCTION("""COMPUTED_VALUE"""),"Arms")</f>
        <v>Arms</v>
      </c>
      <c r="E500" s="2">
        <f>IFERROR(__xludf.DUMMYFUNCTION("""COMPUTED_VALUE"""),4000.0)</f>
        <v>4000</v>
      </c>
      <c r="F500" s="2" t="str">
        <f>IFERROR(__xludf.DUMMYFUNCTION("""COMPUTED_VALUE"""),"DEF: +200000 (Hephaestus' Set) ++Immune to Chaos and Dark. ++Upon taking fire damage instead heal by 5X that fire damage. ++Take 2X water Damage")</f>
        <v>DEF: +200000 (Hephaestus' Set) ++Immune to Chaos and Dark. ++Upon taking fire damage instead heal by 5X that fire damage. ++Take 2X water Damage</v>
      </c>
      <c r="G500" s="2">
        <f>IFERROR(__xludf.DUMMYFUNCTION("""COMPUTED_VALUE"""),7.98E8)</f>
        <v>798000000</v>
      </c>
      <c r="H500" s="2"/>
      <c r="I500" s="2"/>
      <c r="J500" s="2"/>
      <c r="K500" s="2"/>
      <c r="L500" s="2"/>
      <c r="M500" s="2"/>
      <c r="N500" s="2"/>
      <c r="O500" s="2"/>
      <c r="P500" s="2"/>
      <c r="Q500" s="2"/>
      <c r="R500" s="2"/>
      <c r="S500" s="2"/>
      <c r="T500" s="2"/>
      <c r="U500" s="2"/>
      <c r="V500" s="2"/>
      <c r="W500" s="2"/>
      <c r="X500" s="2"/>
      <c r="Y500" s="2"/>
      <c r="Z500" s="2"/>
    </row>
    <row r="501">
      <c r="A501" s="2" t="str">
        <f>IFERROR(__xludf.DUMMYFUNCTION("""COMPUTED_VALUE"""),"The Blacksmith's Forged Greaves")</f>
        <v>The Blacksmith's Forged Greaves</v>
      </c>
      <c r="B501" s="2" t="str">
        <f>IFERROR(__xludf.DUMMYFUNCTION("""COMPUTED_VALUE"""),"Mob Exclusive")</f>
        <v>Mob Exclusive</v>
      </c>
      <c r="C501" s="2"/>
      <c r="D501" s="2" t="str">
        <f>IFERROR(__xludf.DUMMYFUNCTION("""COMPUTED_VALUE"""),"Legs")</f>
        <v>Legs</v>
      </c>
      <c r="E501" s="2">
        <f>IFERROR(__xludf.DUMMYFUNCTION("""COMPUTED_VALUE"""),4000.0)</f>
        <v>4000</v>
      </c>
      <c r="F501" s="2" t="str">
        <f>IFERROR(__xludf.DUMMYFUNCTION("""COMPUTED_VALUE"""),"DEF: +200000 (Hephaestus' Set) ++When attacking with a weapon you have a 25% chance of attacking again with the same weapon. ++Increases all types of Damage by X2. ++Hephaetus's Undying Rage: Upon being killed or removed from battle revive with full healt"&amp;"h (once per battle)")</f>
        <v>DEF: +200000 (Hephaestus' Set) ++When attacking with a weapon you have a 25% chance of attacking again with the same weapon. ++Increases all types of Damage by X2. ++Hephaetus's Undying Rage: Upon being killed or removed from battle revive with full health (once per battle)</v>
      </c>
      <c r="G501" s="2">
        <f>IFERROR(__xludf.DUMMYFUNCTION("""COMPUTED_VALUE"""),7.98E8)</f>
        <v>798000000</v>
      </c>
      <c r="H501" s="2"/>
      <c r="I501" s="2"/>
      <c r="J501" s="2"/>
      <c r="K501" s="2"/>
      <c r="L501" s="2"/>
      <c r="M501" s="2"/>
      <c r="N501" s="2"/>
      <c r="O501" s="2"/>
      <c r="P501" s="2"/>
      <c r="Q501" s="2"/>
      <c r="R501" s="2"/>
      <c r="S501" s="2"/>
      <c r="T501" s="2"/>
      <c r="U501" s="2"/>
      <c r="V501" s="2"/>
      <c r="W501" s="2"/>
      <c r="X501" s="2"/>
      <c r="Y501" s="2"/>
      <c r="Z501" s="2"/>
    </row>
    <row r="502">
      <c r="A502" s="2" t="str">
        <f>IFERROR(__xludf.DUMMYFUNCTION("""COMPUTED_VALUE"""),"The Blacksmith's Forged Sabatons")</f>
        <v>The Blacksmith's Forged Sabatons</v>
      </c>
      <c r="B502" s="2" t="str">
        <f>IFERROR(__xludf.DUMMYFUNCTION("""COMPUTED_VALUE"""),"Mob Exclusive")</f>
        <v>Mob Exclusive</v>
      </c>
      <c r="C502" s="2"/>
      <c r="D502" s="2" t="str">
        <f>IFERROR(__xludf.DUMMYFUNCTION("""COMPUTED_VALUE"""),"Feet")</f>
        <v>Feet</v>
      </c>
      <c r="E502" s="2">
        <f>IFERROR(__xludf.DUMMYFUNCTION("""COMPUTED_VALUE"""),4000.0)</f>
        <v>4000</v>
      </c>
      <c r="F502" s="2" t="str">
        <f>IFERROR(__xludf.DUMMYFUNCTION("""COMPUTED_VALUE"""),"DEF: +200000 (Hephaestus' Set) ++At the start of your turn roll a d20 unaffected by roll bonuses 1-10 no effect 11-20 you act twice on your turn (does not stack with chaincast). ++Heavy Stomp: Causes enemies to be stunned for 1 round with a fail/succeed r"&amp;"oll (cooldown: 3 rounds). ++all weapons deal X2 Damage")</f>
        <v>DEF: +200000 (Hephaestus' Set) ++At the start of your turn roll a d20 unaffected by roll bonuses 1-10 no effect 11-20 you act twice on your turn (does not stack with chaincast). ++Heavy Stomp: Causes enemies to be stunned for 1 round with a fail/succeed roll (cooldown: 3 rounds). ++all weapons deal X2 Damage</v>
      </c>
      <c r="G502" s="2">
        <f>IFERROR(__xludf.DUMMYFUNCTION("""COMPUTED_VALUE"""),7.98E8)</f>
        <v>798000000</v>
      </c>
      <c r="H502" s="2"/>
      <c r="I502" s="2"/>
      <c r="J502" s="2"/>
      <c r="K502" s="2"/>
      <c r="L502" s="2"/>
      <c r="M502" s="2"/>
      <c r="N502" s="2"/>
      <c r="O502" s="2"/>
      <c r="P502" s="2"/>
      <c r="Q502" s="2"/>
      <c r="R502" s="2"/>
      <c r="S502" s="2"/>
      <c r="T502" s="2"/>
      <c r="U502" s="2"/>
      <c r="V502" s="2"/>
      <c r="W502" s="2"/>
      <c r="X502" s="2"/>
      <c r="Y502" s="2"/>
      <c r="Z502" s="2"/>
    </row>
    <row r="503">
      <c r="A503" s="2" t="str">
        <f>IFERROR(__xludf.DUMMYFUNCTION("""COMPUTED_VALUE"""),"The Blacksmith's Forged Cuirasses")</f>
        <v>The Blacksmith's Forged Cuirasses</v>
      </c>
      <c r="B503" s="2" t="str">
        <f>IFERROR(__xludf.DUMMYFUNCTION("""COMPUTED_VALUE"""),"Mob Exclusive")</f>
        <v>Mob Exclusive</v>
      </c>
      <c r="C503" s="2"/>
      <c r="D503" s="2" t="str">
        <f>IFERROR(__xludf.DUMMYFUNCTION("""COMPUTED_VALUE"""),"Torso")</f>
        <v>Torso</v>
      </c>
      <c r="E503" s="2">
        <f>IFERROR(__xludf.DUMMYFUNCTION("""COMPUTED_VALUE"""),4000.0)</f>
        <v>4000</v>
      </c>
      <c r="F503" s="2" t="str">
        <f>IFERROR(__xludf.DUMMYFUNCTION("""COMPUTED_VALUE"""),"DEF: +200000 (Hephaestus' Set) ++10 to all d20 rolls. ++50% to all percentage based abilities. ++Upon taking damage 25% chance to blind the one that hits you giving them blindness 3")</f>
        <v>DEF: +200000 (Hephaestus' Set) ++10 to all d20 rolls. ++50% to all percentage based abilities. ++Upon taking damage 25% chance to blind the one that hits you giving them blindness 3</v>
      </c>
      <c r="G503" s="2">
        <f>IFERROR(__xludf.DUMMYFUNCTION("""COMPUTED_VALUE"""),7.98E8)</f>
        <v>798000000</v>
      </c>
      <c r="H503" s="2"/>
      <c r="I503" s="2"/>
      <c r="J503" s="2"/>
      <c r="K503" s="2"/>
      <c r="L503" s="2"/>
      <c r="M503" s="2"/>
      <c r="N503" s="2"/>
      <c r="O503" s="2"/>
      <c r="P503" s="2"/>
      <c r="Q503" s="2"/>
      <c r="R503" s="2"/>
      <c r="S503" s="2"/>
      <c r="T503" s="2"/>
      <c r="U503" s="2"/>
      <c r="V503" s="2"/>
      <c r="W503" s="2"/>
      <c r="X503" s="2"/>
      <c r="Y503" s="2"/>
      <c r="Z503" s="2"/>
    </row>
    <row r="504">
      <c r="A504" s="2" t="str">
        <f>IFERROR(__xludf.DUMMYFUNCTION("""COMPUTED_VALUE"""),"The Blacksmith's Forged Ring")</f>
        <v>The Blacksmith's Forged Ring</v>
      </c>
      <c r="B504" s="2" t="str">
        <f>IFERROR(__xludf.DUMMYFUNCTION("""COMPUTED_VALUE"""),"Mob Exclusive")</f>
        <v>Mob Exclusive</v>
      </c>
      <c r="C504" s="2"/>
      <c r="D504" s="2" t="str">
        <f>IFERROR(__xludf.DUMMYFUNCTION("""COMPUTED_VALUE"""),"Ring")</f>
        <v>Ring</v>
      </c>
      <c r="E504" s="2">
        <f>IFERROR(__xludf.DUMMYFUNCTION("""COMPUTED_VALUE"""),1.0)</f>
        <v>1</v>
      </c>
      <c r="F504" s="2" t="str">
        <f>IFERROR(__xludf.DUMMYFUNCTION("""COMPUTED_VALUE""")," (Hephaestus' Set) ++Increase all types of damage by X2. ++Causes instant death with a fail/succeed roll. ++Inflict half the damage you take back to the enemy that dealt it for the first 3 rounds of battle.")</f>
        <v> (Hephaestus' Set) ++Increase all types of damage by X2. ++Causes instant death with a fail/succeed roll. ++Inflict half the damage you take back to the enemy that dealt it for the first 3 rounds of battle.</v>
      </c>
      <c r="G504" s="2">
        <f>IFERROR(__xludf.DUMMYFUNCTION("""COMPUTED_VALUE"""),0.0)</f>
        <v>0</v>
      </c>
      <c r="H504" s="2"/>
      <c r="I504" s="2"/>
      <c r="J504" s="2"/>
      <c r="K504" s="2"/>
      <c r="L504" s="2"/>
      <c r="M504" s="2"/>
      <c r="N504" s="2"/>
      <c r="O504" s="2"/>
      <c r="P504" s="2"/>
      <c r="Q504" s="2"/>
      <c r="R504" s="2"/>
      <c r="S504" s="2"/>
      <c r="T504" s="2"/>
      <c r="U504" s="2"/>
      <c r="V504" s="2"/>
      <c r="W504" s="2"/>
      <c r="X504" s="2"/>
      <c r="Y504" s="2"/>
      <c r="Z504" s="2"/>
    </row>
    <row r="505">
      <c r="A505" s="2" t="str">
        <f>IFERROR(__xludf.DUMMYFUNCTION("""COMPUTED_VALUE"""),"The Blacksmith's Forged Pendant")</f>
        <v>The Blacksmith's Forged Pendant</v>
      </c>
      <c r="B505" s="2" t="str">
        <f>IFERROR(__xludf.DUMMYFUNCTION("""COMPUTED_VALUE"""),"Mob Exclusive")</f>
        <v>Mob Exclusive</v>
      </c>
      <c r="C505" s="2"/>
      <c r="D505" s="2" t="str">
        <f>IFERROR(__xludf.DUMMYFUNCTION("""COMPUTED_VALUE"""),"Neck")</f>
        <v>Neck</v>
      </c>
      <c r="E505" s="2">
        <f>IFERROR(__xludf.DUMMYFUNCTION("""COMPUTED_VALUE"""),1.0)</f>
        <v>1</v>
      </c>
      <c r="F505" s="2" t="str">
        <f>IFERROR(__xludf.DUMMYFUNCTION("""COMPUTED_VALUE""")," (Hephaestus' Set) ++Forged items now deal double in damage for the wearer. ++If you kill an enemy with a weapon your HP and SP will fully be restored. ++Enemies deduct 2 from their rolls when targeting you")</f>
        <v> (Hephaestus' Set) ++Forged items now deal double in damage for the wearer. ++If you kill an enemy with a weapon your HP and SP will fully be restored. ++Enemies deduct 2 from their rolls when targeting you</v>
      </c>
      <c r="G505" s="2">
        <f>IFERROR(__xludf.DUMMYFUNCTION("""COMPUTED_VALUE"""),0.0)</f>
        <v>0</v>
      </c>
      <c r="H505" s="2"/>
      <c r="I505" s="2"/>
      <c r="J505" s="2"/>
      <c r="K505" s="2"/>
      <c r="L505" s="2"/>
      <c r="M505" s="2"/>
      <c r="N505" s="2"/>
      <c r="O505" s="2"/>
      <c r="P505" s="2"/>
      <c r="Q505" s="2"/>
      <c r="R505" s="2"/>
      <c r="S505" s="2"/>
      <c r="T505" s="2"/>
      <c r="U505" s="2"/>
      <c r="V505" s="2"/>
      <c r="W505" s="2"/>
      <c r="X505" s="2"/>
      <c r="Y505" s="2"/>
      <c r="Z505" s="2"/>
    </row>
    <row r="506">
      <c r="A506" s="2" t="str">
        <f>IFERROR(__xludf.DUMMYFUNCTION("""COMPUTED_VALUE"""),"The Blacksmith's Ring of Green Hatred")</f>
        <v>The Blacksmith's Ring of Green Hatred</v>
      </c>
      <c r="B506" s="2" t="str">
        <f>IFERROR(__xludf.DUMMYFUNCTION("""COMPUTED_VALUE"""),"Mob Exclusive")</f>
        <v>Mob Exclusive</v>
      </c>
      <c r="C506" s="2"/>
      <c r="D506" s="2" t="str">
        <f>IFERROR(__xludf.DUMMYFUNCTION("""COMPUTED_VALUE"""),"Ring")</f>
        <v>Ring</v>
      </c>
      <c r="E506" s="2">
        <f>IFERROR(__xludf.DUMMYFUNCTION("""COMPUTED_VALUE"""),1.0)</f>
        <v>1</v>
      </c>
      <c r="F506" s="2" t="str">
        <f>IFERROR(__xludf.DUMMYFUNCTION("""COMPUTED_VALUE""")," (Hephaestus' Set) ++All attacks deal X10 damage against any enemies with the starting town of Forest View.")</f>
        <v> (Hephaestus' Set) ++All attacks deal X10 damage against any enemies with the starting town of Forest View.</v>
      </c>
      <c r="G506" s="2">
        <f>IFERROR(__xludf.DUMMYFUNCTION("""COMPUTED_VALUE"""),0.0)</f>
        <v>0</v>
      </c>
      <c r="H506" s="2"/>
      <c r="I506" s="2"/>
      <c r="J506" s="2"/>
      <c r="K506" s="2"/>
      <c r="L506" s="2"/>
      <c r="M506" s="2"/>
      <c r="N506" s="2"/>
      <c r="O506" s="2"/>
      <c r="P506" s="2"/>
      <c r="Q506" s="2"/>
      <c r="R506" s="2"/>
      <c r="S506" s="2"/>
      <c r="T506" s="2"/>
      <c r="U506" s="2"/>
      <c r="V506" s="2"/>
      <c r="W506" s="2"/>
      <c r="X506" s="2"/>
      <c r="Y506" s="2"/>
      <c r="Z506" s="2"/>
    </row>
    <row r="507">
      <c r="A507" s="2" t="str">
        <f>IFERROR(__xludf.DUMMYFUNCTION("""COMPUTED_VALUE"""),"Ring o' Strength and Fire")</f>
        <v>Ring o' Strength and Fire</v>
      </c>
      <c r="B507" s="2"/>
      <c r="C507" s="2"/>
      <c r="D507" s="2" t="str">
        <f>IFERROR(__xludf.DUMMYFUNCTION("""COMPUTED_VALUE"""),"Ring")</f>
        <v>Ring</v>
      </c>
      <c r="E507" s="2">
        <f>IFERROR(__xludf.DUMMYFUNCTION("""COMPUTED_VALUE"""),1.0)</f>
        <v>1</v>
      </c>
      <c r="F507" s="2" t="str">
        <f>IFERROR(__xludf.DUMMYFUNCTION("""COMPUTED_VALUE""")," ++Grants immunity to fire. ++Grants X2 damage. +-Can only equip one +-Cannot be duplicated")</f>
        <v> ++Grants immunity to fire. ++Grants X2 damage. +-Can only equip one +-Cannot be duplicated</v>
      </c>
      <c r="G507" s="2">
        <f>IFERROR(__xludf.DUMMYFUNCTION("""COMPUTED_VALUE"""),0.0)</f>
        <v>0</v>
      </c>
      <c r="H507" s="2"/>
      <c r="I507" s="2"/>
      <c r="J507" s="2"/>
      <c r="K507" s="2"/>
      <c r="L507" s="2"/>
      <c r="M507" s="2"/>
      <c r="N507" s="2"/>
      <c r="O507" s="2"/>
      <c r="P507" s="2"/>
      <c r="Q507" s="2"/>
      <c r="R507" s="2"/>
      <c r="S507" s="2"/>
      <c r="T507" s="2"/>
      <c r="U507" s="2"/>
      <c r="V507" s="2"/>
      <c r="W507" s="2"/>
      <c r="X507" s="2"/>
      <c r="Y507" s="2"/>
      <c r="Z507" s="2"/>
    </row>
    <row r="508">
      <c r="A508" s="2" t="str">
        <f>IFERROR(__xludf.DUMMYFUNCTION("""COMPUTED_VALUE"""),"Ring o' Fortitude and Earth")</f>
        <v>Ring o' Fortitude and Earth</v>
      </c>
      <c r="B508" s="2"/>
      <c r="C508" s="2"/>
      <c r="D508" s="2" t="str">
        <f>IFERROR(__xludf.DUMMYFUNCTION("""COMPUTED_VALUE"""),"Ring")</f>
        <v>Ring</v>
      </c>
      <c r="E508" s="2">
        <f>IFERROR(__xludf.DUMMYFUNCTION("""COMPUTED_VALUE"""),1.0)</f>
        <v>1</v>
      </c>
      <c r="F508" s="2" t="str">
        <f>IFERROR(__xludf.DUMMYFUNCTION("""COMPUTED_VALUE""")," ++Grants immunity to Earth. ++Grants X2 Defense. +-Can only equip one +-Cannot be duplicated")</f>
        <v> ++Grants immunity to Earth. ++Grants X2 Defense. +-Can only equip one +-Cannot be duplicated</v>
      </c>
      <c r="G508" s="2">
        <f>IFERROR(__xludf.DUMMYFUNCTION("""COMPUTED_VALUE"""),0.0)</f>
        <v>0</v>
      </c>
      <c r="H508" s="2"/>
      <c r="I508" s="2"/>
      <c r="J508" s="2"/>
      <c r="K508" s="2"/>
      <c r="L508" s="2"/>
      <c r="M508" s="2"/>
      <c r="N508" s="2"/>
      <c r="O508" s="2"/>
      <c r="P508" s="2"/>
      <c r="Q508" s="2"/>
      <c r="R508" s="2"/>
      <c r="S508" s="2"/>
      <c r="T508" s="2"/>
      <c r="U508" s="2"/>
      <c r="V508" s="2"/>
      <c r="W508" s="2"/>
      <c r="X508" s="2"/>
      <c r="Y508" s="2"/>
      <c r="Z508" s="2"/>
    </row>
    <row r="509">
      <c r="A509" s="2" t="str">
        <f>IFERROR(__xludf.DUMMYFUNCTION("""COMPUTED_VALUE"""),"Ring o' Agility and Water")</f>
        <v>Ring o' Agility and Water</v>
      </c>
      <c r="B509" s="2"/>
      <c r="C509" s="2"/>
      <c r="D509" s="2" t="str">
        <f>IFERROR(__xludf.DUMMYFUNCTION("""COMPUTED_VALUE"""),"Ring")</f>
        <v>Ring</v>
      </c>
      <c r="E509" s="2">
        <f>IFERROR(__xludf.DUMMYFUNCTION("""COMPUTED_VALUE"""),1.0)</f>
        <v>1</v>
      </c>
      <c r="F509" s="2" t="str">
        <f>IFERROR(__xludf.DUMMYFUNCTION("""COMPUTED_VALUE""")," ++Grants Immunity to Water. ++Grants +5 to evasion. +-Can only equip one +-Cannot be duplicated")</f>
        <v> ++Grants Immunity to Water. ++Grants +5 to evasion. +-Can only equip one +-Cannot be duplicated</v>
      </c>
      <c r="G509" s="2">
        <f>IFERROR(__xludf.DUMMYFUNCTION("""COMPUTED_VALUE"""),0.0)</f>
        <v>0</v>
      </c>
      <c r="H509" s="2"/>
      <c r="I509" s="2"/>
      <c r="J509" s="2"/>
      <c r="K509" s="2"/>
      <c r="L509" s="2"/>
      <c r="M509" s="2"/>
      <c r="N509" s="2"/>
      <c r="O509" s="2"/>
      <c r="P509" s="2"/>
      <c r="Q509" s="2"/>
      <c r="R509" s="2"/>
      <c r="S509" s="2"/>
      <c r="T509" s="2"/>
      <c r="U509" s="2"/>
      <c r="V509" s="2"/>
      <c r="W509" s="2"/>
      <c r="X509" s="2"/>
      <c r="Y509" s="2"/>
      <c r="Z509" s="2"/>
    </row>
    <row r="510">
      <c r="A510" s="2" t="str">
        <f>IFERROR(__xludf.DUMMYFUNCTION("""COMPUTED_VALUE"""),"Ring o' Power and Delta")</f>
        <v>Ring o' Power and Delta</v>
      </c>
      <c r="B510" s="2"/>
      <c r="C510" s="2"/>
      <c r="D510" s="2" t="str">
        <f>IFERROR(__xludf.DUMMYFUNCTION("""COMPUTED_VALUE"""),"Ring")</f>
        <v>Ring</v>
      </c>
      <c r="E510" s="2">
        <f>IFERROR(__xludf.DUMMYFUNCTION("""COMPUTED_VALUE"""),1.0)</f>
        <v>1</v>
      </c>
      <c r="F510" s="2" t="str">
        <f>IFERROR(__xludf.DUMMYFUNCTION("""COMPUTED_VALUE""")," ++Grants X4 Delta damage. ++Take Half delta damage. +-Can only equip one +-Cannot be duplicated")</f>
        <v> ++Grants X4 Delta damage. ++Take Half delta damage. +-Can only equip one +-Cannot be duplicated</v>
      </c>
      <c r="G510" s="2">
        <f>IFERROR(__xludf.DUMMYFUNCTION("""COMPUTED_VALUE"""),0.0)</f>
        <v>0</v>
      </c>
      <c r="H510" s="2"/>
      <c r="I510" s="2"/>
      <c r="J510" s="2"/>
      <c r="K510" s="2"/>
      <c r="L510" s="2"/>
      <c r="M510" s="2"/>
      <c r="N510" s="2"/>
      <c r="O510" s="2"/>
      <c r="P510" s="2"/>
      <c r="Q510" s="2"/>
      <c r="R510" s="2"/>
      <c r="S510" s="2"/>
      <c r="T510" s="2"/>
      <c r="U510" s="2"/>
      <c r="V510" s="2"/>
      <c r="W510" s="2"/>
      <c r="X510" s="2"/>
      <c r="Y510" s="2"/>
      <c r="Z510" s="2"/>
    </row>
    <row r="511">
      <c r="A511" s="2" t="str">
        <f>IFERROR(__xludf.DUMMYFUNCTION("""COMPUTED_VALUE"""),"Ring o' Courage and Order")</f>
        <v>Ring o' Courage and Order</v>
      </c>
      <c r="B511" s="2"/>
      <c r="C511" s="2"/>
      <c r="D511" s="2" t="str">
        <f>IFERROR(__xludf.DUMMYFUNCTION("""COMPUTED_VALUE"""),"Ring")</f>
        <v>Ring</v>
      </c>
      <c r="E511" s="2">
        <f>IFERROR(__xludf.DUMMYFUNCTION("""COMPUTED_VALUE"""),1.0)</f>
        <v>1</v>
      </c>
      <c r="F511" s="2" t="str">
        <f>IFERROR(__xludf.DUMMYFUNCTION("""COMPUTED_VALUE""")," ++Grants Immunity to Order. ++Enemies halve their rolls when fleeing. +-Can only equip one +-Cannot be duplicated")</f>
        <v> ++Grants Immunity to Order. ++Enemies halve their rolls when fleeing. +-Can only equip one +-Cannot be duplicated</v>
      </c>
      <c r="G511" s="2">
        <f>IFERROR(__xludf.DUMMYFUNCTION("""COMPUTED_VALUE"""),0.0)</f>
        <v>0</v>
      </c>
      <c r="H511" s="2"/>
      <c r="I511" s="2"/>
      <c r="J511" s="2"/>
      <c r="K511" s="2"/>
      <c r="L511" s="2"/>
      <c r="M511" s="2"/>
      <c r="N511" s="2"/>
      <c r="O511" s="2"/>
      <c r="P511" s="2"/>
      <c r="Q511" s="2"/>
      <c r="R511" s="2"/>
      <c r="S511" s="2"/>
      <c r="T511" s="2"/>
      <c r="U511" s="2"/>
      <c r="V511" s="2"/>
      <c r="W511" s="2"/>
      <c r="X511" s="2"/>
      <c r="Y511" s="2"/>
      <c r="Z511" s="2"/>
    </row>
    <row r="512">
      <c r="A512" s="2" t="str">
        <f>IFERROR(__xludf.DUMMYFUNCTION("""COMPUTED_VALUE"""),"Ring o' Resilience and Physicality")</f>
        <v>Ring o' Resilience and Physicality</v>
      </c>
      <c r="B512" s="2"/>
      <c r="C512" s="2"/>
      <c r="D512" s="2" t="str">
        <f>IFERROR(__xludf.DUMMYFUNCTION("""COMPUTED_VALUE"""),"Ring")</f>
        <v>Ring</v>
      </c>
      <c r="E512" s="2">
        <f>IFERROR(__xludf.DUMMYFUNCTION("""COMPUTED_VALUE"""),1.0)</f>
        <v>1</v>
      </c>
      <c r="F512" s="2" t="str">
        <f>IFERROR(__xludf.DUMMYFUNCTION("""COMPUTED_VALUE""")," ++Grants Immunity to Natural attacks. ++Grants +5 Mobility. +-Can only equip one +-Cannot be duplicated")</f>
        <v> ++Grants Immunity to Natural attacks. ++Grants +5 Mobility. +-Can only equip one +-Cannot be duplicated</v>
      </c>
      <c r="G512" s="2">
        <f>IFERROR(__xludf.DUMMYFUNCTION("""COMPUTED_VALUE"""),0.0)</f>
        <v>0</v>
      </c>
      <c r="H512" s="2"/>
      <c r="I512" s="2"/>
      <c r="J512" s="2"/>
      <c r="K512" s="2"/>
      <c r="L512" s="2"/>
      <c r="M512" s="2"/>
      <c r="N512" s="2"/>
      <c r="O512" s="2"/>
      <c r="P512" s="2"/>
      <c r="Q512" s="2"/>
      <c r="R512" s="2"/>
      <c r="S512" s="2"/>
      <c r="T512" s="2"/>
      <c r="U512" s="2"/>
      <c r="V512" s="2"/>
      <c r="W512" s="2"/>
      <c r="X512" s="2"/>
      <c r="Y512" s="2"/>
      <c r="Z512" s="2"/>
    </row>
    <row r="513">
      <c r="A513" s="2" t="str">
        <f>IFERROR(__xludf.DUMMYFUNCTION("""COMPUTED_VALUE"""),"Ring o' Insanity and Chaos")</f>
        <v>Ring o' Insanity and Chaos</v>
      </c>
      <c r="B513" s="2"/>
      <c r="C513" s="2"/>
      <c r="D513" s="2" t="str">
        <f>IFERROR(__xludf.DUMMYFUNCTION("""COMPUTED_VALUE"""),"Ring")</f>
        <v>Ring</v>
      </c>
      <c r="E513" s="2">
        <f>IFERROR(__xludf.DUMMYFUNCTION("""COMPUTED_VALUE"""),1.0)</f>
        <v>1</v>
      </c>
      <c r="F513" s="2" t="str">
        <f>IFERROR(__xludf.DUMMYFUNCTION("""COMPUTED_VALUE""")," ++Grants Immunity to Chaos. +5 to Intimidation. +-Can only equip one +-Cannot be duplicated")</f>
        <v> ++Grants Immunity to Chaos. +5 to Intimidation. +-Can only equip one +-Cannot be duplicated</v>
      </c>
      <c r="G513" s="2">
        <f>IFERROR(__xludf.DUMMYFUNCTION("""COMPUTED_VALUE"""),0.0)</f>
        <v>0</v>
      </c>
      <c r="H513" s="2"/>
      <c r="I513" s="2"/>
      <c r="J513" s="2"/>
      <c r="K513" s="2"/>
      <c r="L513" s="2"/>
      <c r="M513" s="2"/>
      <c r="N513" s="2"/>
      <c r="O513" s="2"/>
      <c r="P513" s="2"/>
      <c r="Q513" s="2"/>
      <c r="R513" s="2"/>
      <c r="S513" s="2"/>
      <c r="T513" s="2"/>
      <c r="U513" s="2"/>
      <c r="V513" s="2"/>
      <c r="W513" s="2"/>
      <c r="X513" s="2"/>
      <c r="Y513" s="2"/>
      <c r="Z513" s="2"/>
    </row>
    <row r="514">
      <c r="A514" s="2" t="str">
        <f>IFERROR(__xludf.DUMMYFUNCTION("""COMPUTED_VALUE"""),"Ring o' Debonair and Light")</f>
        <v>Ring o' Debonair and Light</v>
      </c>
      <c r="B514" s="2"/>
      <c r="C514" s="2"/>
      <c r="D514" s="2" t="str">
        <f>IFERROR(__xludf.DUMMYFUNCTION("""COMPUTED_VALUE"""),"Ring")</f>
        <v>Ring</v>
      </c>
      <c r="E514" s="2">
        <f>IFERROR(__xludf.DUMMYFUNCTION("""COMPUTED_VALUE"""),1.0)</f>
        <v>1</v>
      </c>
      <c r="F514" s="2" t="str">
        <f>IFERROR(__xludf.DUMMYFUNCTION("""COMPUTED_VALUE""")," ++Grants Immunity to Light. +5 to Charisma. +-Can only equip one +-Cannot be duplicated")</f>
        <v> ++Grants Immunity to Light. +5 to Charisma. +-Can only equip one +-Cannot be duplicated</v>
      </c>
      <c r="G514" s="2">
        <f>IFERROR(__xludf.DUMMYFUNCTION("""COMPUTED_VALUE"""),0.0)</f>
        <v>0</v>
      </c>
      <c r="H514" s="2"/>
      <c r="I514" s="2"/>
      <c r="J514" s="2"/>
      <c r="K514" s="2"/>
      <c r="L514" s="2"/>
      <c r="M514" s="2"/>
      <c r="N514" s="2"/>
      <c r="O514" s="2"/>
      <c r="P514" s="2"/>
      <c r="Q514" s="2"/>
      <c r="R514" s="2"/>
      <c r="S514" s="2"/>
      <c r="T514" s="2"/>
      <c r="U514" s="2"/>
      <c r="V514" s="2"/>
      <c r="W514" s="2"/>
      <c r="X514" s="2"/>
      <c r="Y514" s="2"/>
      <c r="Z514" s="2"/>
    </row>
    <row r="515">
      <c r="A515" s="2" t="str">
        <f>IFERROR(__xludf.DUMMYFUNCTION("""COMPUTED_VALUE"""),"Ring o' Spite and Blood")</f>
        <v>Ring o' Spite and Blood</v>
      </c>
      <c r="B515" s="2"/>
      <c r="C515" s="2"/>
      <c r="D515" s="2" t="str">
        <f>IFERROR(__xludf.DUMMYFUNCTION("""COMPUTED_VALUE"""),"Ring")</f>
        <v>Ring</v>
      </c>
      <c r="E515" s="2">
        <f>IFERROR(__xludf.DUMMYFUNCTION("""COMPUTED_VALUE"""),1.0)</f>
        <v>1</v>
      </c>
      <c r="F515" s="2" t="str">
        <f>IFERROR(__xludf.DUMMYFUNCTION("""COMPUTED_VALUE""")," ++Grants Immunity to Blood. ++X4 Blood damage, ++Deal X4 damage to any enemy who attempted to attack you. +-Can only equip one +-Cannot be duplicated")</f>
        <v> ++Grants Immunity to Blood. ++X4 Blood damage, ++Deal X4 damage to any enemy who attempted to attack you. +-Can only equip one +-Cannot be duplicated</v>
      </c>
      <c r="G515" s="2">
        <f>IFERROR(__xludf.DUMMYFUNCTION("""COMPUTED_VALUE"""),0.0)</f>
        <v>0</v>
      </c>
      <c r="H515" s="2"/>
      <c r="I515" s="2"/>
      <c r="J515" s="2"/>
      <c r="K515" s="2"/>
      <c r="L515" s="2"/>
      <c r="M515" s="2"/>
      <c r="N515" s="2"/>
      <c r="O515" s="2"/>
      <c r="P515" s="2"/>
      <c r="Q515" s="2"/>
      <c r="R515" s="2"/>
      <c r="S515" s="2"/>
      <c r="T515" s="2"/>
      <c r="U515" s="2"/>
      <c r="V515" s="2"/>
      <c r="W515" s="2"/>
      <c r="X515" s="2"/>
      <c r="Y515" s="2"/>
      <c r="Z515" s="2"/>
    </row>
    <row r="516">
      <c r="A516" s="2" t="str">
        <f>IFERROR(__xludf.DUMMYFUNCTION("""COMPUTED_VALUE"""),"Ring o' Neurodivergence and Spirit")</f>
        <v>Ring o' Neurodivergence and Spirit</v>
      </c>
      <c r="B516" s="2"/>
      <c r="C516" s="2"/>
      <c r="D516" s="2" t="str">
        <f>IFERROR(__xludf.DUMMYFUNCTION("""COMPUTED_VALUE"""),"Ring")</f>
        <v>Ring</v>
      </c>
      <c r="E516" s="2">
        <f>IFERROR(__xludf.DUMMYFUNCTION("""COMPUTED_VALUE"""),1.0)</f>
        <v>1</v>
      </c>
      <c r="F516" s="2" t="str">
        <f>IFERROR(__xludf.DUMMYFUNCTION("""COMPUTED_VALUE""")," ++Grants Immunity to Spirit. ++As an action you can Create a clone of yourself who has the same stats as yourself once per battle, 200 sp. +-Can only equip one +-Cannot be duplicated")</f>
        <v> ++Grants Immunity to Spirit. ++As an action you can Create a clone of yourself who has the same stats as yourself once per battle, 200 sp. +-Can only equip one +-Cannot be duplicated</v>
      </c>
      <c r="G516" s="2">
        <f>IFERROR(__xludf.DUMMYFUNCTION("""COMPUTED_VALUE"""),0.0)</f>
        <v>0</v>
      </c>
      <c r="H516" s="2"/>
      <c r="I516" s="2"/>
      <c r="J516" s="2"/>
      <c r="K516" s="2"/>
      <c r="L516" s="2"/>
      <c r="M516" s="2"/>
      <c r="N516" s="2"/>
      <c r="O516" s="2"/>
      <c r="P516" s="2"/>
      <c r="Q516" s="2"/>
      <c r="R516" s="2"/>
      <c r="S516" s="2"/>
      <c r="T516" s="2"/>
      <c r="U516" s="2"/>
      <c r="V516" s="2"/>
      <c r="W516" s="2"/>
      <c r="X516" s="2"/>
      <c r="Y516" s="2"/>
      <c r="Z516" s="2"/>
    </row>
    <row r="517">
      <c r="A517" s="2" t="str">
        <f>IFERROR(__xludf.DUMMYFUNCTION("""COMPUTED_VALUE"""),"Ring o' Impassivity and Storm")</f>
        <v>Ring o' Impassivity and Storm</v>
      </c>
      <c r="B517" s="2"/>
      <c r="C517" s="2"/>
      <c r="D517" s="2" t="str">
        <f>IFERROR(__xludf.DUMMYFUNCTION("""COMPUTED_VALUE"""),"Ring")</f>
        <v>Ring</v>
      </c>
      <c r="E517" s="2">
        <f>IFERROR(__xludf.DUMMYFUNCTION("""COMPUTED_VALUE"""),1.0)</f>
        <v>1</v>
      </c>
      <c r="F517" s="2" t="str">
        <f>IFERROR(__xludf.DUMMYFUNCTION("""COMPUTED_VALUE""")," ++Grants Immunity to Storm. ++20% chance to be unaffected by magic that affects you including your own. +-Can only equip one +-Cannot be duplicated")</f>
        <v> ++Grants Immunity to Storm. ++20% chance to be unaffected by magic that affects you including your own. +-Can only equip one +-Cannot be duplicated</v>
      </c>
      <c r="G517" s="2">
        <f>IFERROR(__xludf.DUMMYFUNCTION("""COMPUTED_VALUE"""),0.0)</f>
        <v>0</v>
      </c>
      <c r="H517" s="2"/>
      <c r="I517" s="2"/>
      <c r="J517" s="2"/>
      <c r="K517" s="2"/>
      <c r="L517" s="2"/>
      <c r="M517" s="2"/>
      <c r="N517" s="2"/>
      <c r="O517" s="2"/>
      <c r="P517" s="2"/>
      <c r="Q517" s="2"/>
      <c r="R517" s="2"/>
      <c r="S517" s="2"/>
      <c r="T517" s="2"/>
      <c r="U517" s="2"/>
      <c r="V517" s="2"/>
      <c r="W517" s="2"/>
      <c r="X517" s="2"/>
      <c r="Y517" s="2"/>
      <c r="Z517" s="2"/>
    </row>
    <row r="518">
      <c r="A518" s="2" t="str">
        <f>IFERROR(__xludf.DUMMYFUNCTION("""COMPUTED_VALUE"""),"Ring o' Rigidity and Stasis")</f>
        <v>Ring o' Rigidity and Stasis</v>
      </c>
      <c r="B518" s="2"/>
      <c r="C518" s="2"/>
      <c r="D518" s="2" t="str">
        <f>IFERROR(__xludf.DUMMYFUNCTION("""COMPUTED_VALUE"""),"Ring")</f>
        <v>Ring</v>
      </c>
      <c r="E518" s="2">
        <f>IFERROR(__xludf.DUMMYFUNCTION("""COMPUTED_VALUE"""),1.0)</f>
        <v>1</v>
      </c>
      <c r="F518" s="2" t="str">
        <f>IFERROR(__xludf.DUMMYFUNCTION("""COMPUTED_VALUE""")," ++You take half Damage from both Chaos and Light. ++Grants a 30% chance to be unaffected by status affects. +-Can only equip one +-Cannot be duplicated")</f>
        <v> ++You take half Damage from both Chaos and Light. ++Grants a 30% chance to be unaffected by status affects. +-Can only equip one +-Cannot be duplicated</v>
      </c>
      <c r="G518" s="2">
        <f>IFERROR(__xludf.DUMMYFUNCTION("""COMPUTED_VALUE"""),0.0)</f>
        <v>0</v>
      </c>
      <c r="H518" s="2"/>
      <c r="I518" s="2"/>
      <c r="J518" s="2"/>
      <c r="K518" s="2"/>
      <c r="L518" s="2"/>
      <c r="M518" s="2"/>
      <c r="N518" s="2"/>
      <c r="O518" s="2"/>
      <c r="P518" s="2"/>
      <c r="Q518" s="2"/>
      <c r="R518" s="2"/>
      <c r="S518" s="2"/>
      <c r="T518" s="2"/>
      <c r="U518" s="2"/>
      <c r="V518" s="2"/>
      <c r="W518" s="2"/>
      <c r="X518" s="2"/>
      <c r="Y518" s="2"/>
      <c r="Z518" s="2"/>
    </row>
    <row r="519">
      <c r="A519" s="2" t="str">
        <f>IFERROR(__xludf.DUMMYFUNCTION("""COMPUTED_VALUE"""),"Ring o' Loyalty and Celestial")</f>
        <v>Ring o' Loyalty and Celestial</v>
      </c>
      <c r="B519" s="2"/>
      <c r="C519" s="2"/>
      <c r="D519" s="2" t="str">
        <f>IFERROR(__xludf.DUMMYFUNCTION("""COMPUTED_VALUE"""),"Ring")</f>
        <v>Ring</v>
      </c>
      <c r="E519" s="2">
        <f>IFERROR(__xludf.DUMMYFUNCTION("""COMPUTED_VALUE"""),1.0)</f>
        <v>1</v>
      </c>
      <c r="F519" s="2" t="str">
        <f>IFERROR(__xludf.DUMMYFUNCTION("""COMPUTED_VALUE""")," ++Grants X6 Celestial damage. Take half damage from celestial. +-Can only equip one +-Cannot be duplicated")</f>
        <v> ++Grants X6 Celestial damage. Take half damage from celestial. +-Can only equip one +-Cannot be duplicated</v>
      </c>
      <c r="G519" s="2">
        <f>IFERROR(__xludf.DUMMYFUNCTION("""COMPUTED_VALUE"""),0.0)</f>
        <v>0</v>
      </c>
      <c r="H519" s="2"/>
      <c r="I519" s="2"/>
      <c r="J519" s="2"/>
      <c r="K519" s="2"/>
      <c r="L519" s="2"/>
      <c r="M519" s="2"/>
      <c r="N519" s="2"/>
      <c r="O519" s="2"/>
      <c r="P519" s="2"/>
      <c r="Q519" s="2"/>
      <c r="R519" s="2"/>
      <c r="S519" s="2"/>
      <c r="T519" s="2"/>
      <c r="U519" s="2"/>
      <c r="V519" s="2"/>
      <c r="W519" s="2"/>
      <c r="X519" s="2"/>
      <c r="Y519" s="2"/>
      <c r="Z519" s="2"/>
    </row>
    <row r="520">
      <c r="A520" s="2" t="str">
        <f>IFERROR(__xludf.DUMMYFUNCTION("""COMPUTED_VALUE"""),"Ring o' Arrogance and Twilight")</f>
        <v>Ring o' Arrogance and Twilight</v>
      </c>
      <c r="B520" s="2"/>
      <c r="C520" s="2"/>
      <c r="D520" s="2" t="str">
        <f>IFERROR(__xludf.DUMMYFUNCTION("""COMPUTED_VALUE"""),"Ring")</f>
        <v>Ring</v>
      </c>
      <c r="E520" s="2">
        <f>IFERROR(__xludf.DUMMYFUNCTION("""COMPUTED_VALUE"""),1.0)</f>
        <v>1</v>
      </c>
      <c r="F520" s="2" t="str">
        <f>IFERROR(__xludf.DUMMYFUNCTION("""COMPUTED_VALUE""")," ++You take Half Damage from both Light and Dark. Grants immunity to Instant Death. +-Can only equip one +-Cannot be duplicated")</f>
        <v> ++You take Half Damage from both Light and Dark. Grants immunity to Instant Death. +-Can only equip one +-Cannot be duplicated</v>
      </c>
      <c r="G520" s="2">
        <f>IFERROR(__xludf.DUMMYFUNCTION("""COMPUTED_VALUE"""),0.0)</f>
        <v>0</v>
      </c>
      <c r="H520" s="2"/>
      <c r="I520" s="2"/>
      <c r="J520" s="2"/>
      <c r="K520" s="2"/>
      <c r="L520" s="2"/>
      <c r="M520" s="2"/>
      <c r="N520" s="2"/>
      <c r="O520" s="2"/>
      <c r="P520" s="2"/>
      <c r="Q520" s="2"/>
      <c r="R520" s="2"/>
      <c r="S520" s="2"/>
      <c r="T520" s="2"/>
      <c r="U520" s="2"/>
      <c r="V520" s="2"/>
      <c r="W520" s="2"/>
      <c r="X520" s="2"/>
      <c r="Y520" s="2"/>
      <c r="Z520" s="2"/>
    </row>
    <row r="521">
      <c r="A521" s="2" t="str">
        <f>IFERROR(__xludf.DUMMYFUNCTION("""COMPUTED_VALUE"""),"Ring o' Grace and Astral")</f>
        <v>Ring o' Grace and Astral</v>
      </c>
      <c r="B521" s="2"/>
      <c r="C521" s="2"/>
      <c r="D521" s="2" t="str">
        <f>IFERROR(__xludf.DUMMYFUNCTION("""COMPUTED_VALUE"""),"Ring")</f>
        <v>Ring</v>
      </c>
      <c r="E521" s="2">
        <f>IFERROR(__xludf.DUMMYFUNCTION("""COMPUTED_VALUE"""),1.0)</f>
        <v>1</v>
      </c>
      <c r="F521" s="2" t="str">
        <f>IFERROR(__xludf.DUMMYFUNCTION("""COMPUTED_VALUE""")," ++Grants Immunity to Astral. ++You roll twice when rolling to evade and take the higher result. +-Can only equip one +-Cannot be duplicated")</f>
        <v> ++Grants Immunity to Astral. ++You roll twice when rolling to evade and take the higher result. +-Can only equip one +-Cannot be duplicated</v>
      </c>
      <c r="G521" s="2">
        <f>IFERROR(__xludf.DUMMYFUNCTION("""COMPUTED_VALUE"""),0.0)</f>
        <v>0</v>
      </c>
      <c r="H521" s="2"/>
      <c r="I521" s="2"/>
      <c r="J521" s="2"/>
      <c r="K521" s="2"/>
      <c r="L521" s="2"/>
      <c r="M521" s="2"/>
      <c r="N521" s="2"/>
      <c r="O521" s="2"/>
      <c r="P521" s="2"/>
      <c r="Q521" s="2"/>
      <c r="R521" s="2"/>
      <c r="S521" s="2"/>
      <c r="T521" s="2"/>
      <c r="U521" s="2"/>
      <c r="V521" s="2"/>
      <c r="W521" s="2"/>
      <c r="X521" s="2"/>
      <c r="Y521" s="2"/>
      <c r="Z521" s="2"/>
    </row>
    <row r="522">
      <c r="A522" s="2" t="str">
        <f>IFERROR(__xludf.DUMMYFUNCTION("""COMPUTED_VALUE"""),"Ring o' Villainy and Voodoo")</f>
        <v>Ring o' Villainy and Voodoo</v>
      </c>
      <c r="B522" s="2"/>
      <c r="C522" s="2"/>
      <c r="D522" s="2" t="str">
        <f>IFERROR(__xludf.DUMMYFUNCTION("""COMPUTED_VALUE"""),"Ring")</f>
        <v>Ring</v>
      </c>
      <c r="E522" s="2">
        <f>IFERROR(__xludf.DUMMYFUNCTION("""COMPUTED_VALUE"""),1.0)</f>
        <v>1</v>
      </c>
      <c r="F522" s="2" t="str">
        <f>IFERROR(__xludf.DUMMYFUNCTION("""COMPUTED_VALUE""")," ++Grants Immunity to Voodoo. ++You automatically succeed at using confiscate and get a ++2 to any roll related to committing a crime. X4 Voodoo damage. +-Can only equip one +-Cannot be duplicated. +-Cannot become a Spira guard if you wear this.")</f>
        <v> ++Grants Immunity to Voodoo. ++You automatically succeed at using confiscate and get a ++2 to any roll related to committing a crime. X4 Voodoo damage. +-Can only equip one +-Cannot be duplicated. +-Cannot become a Spira guard if you wear this.</v>
      </c>
      <c r="G522" s="2">
        <f>IFERROR(__xludf.DUMMYFUNCTION("""COMPUTED_VALUE"""),0.0)</f>
        <v>0</v>
      </c>
      <c r="H522" s="2"/>
      <c r="I522" s="2"/>
      <c r="J522" s="2"/>
      <c r="K522" s="2"/>
      <c r="L522" s="2"/>
      <c r="M522" s="2"/>
      <c r="N522" s="2"/>
      <c r="O522" s="2"/>
      <c r="P522" s="2"/>
      <c r="Q522" s="2"/>
      <c r="R522" s="2"/>
      <c r="S522" s="2"/>
      <c r="T522" s="2"/>
      <c r="U522" s="2"/>
      <c r="V522" s="2"/>
      <c r="W522" s="2"/>
      <c r="X522" s="2"/>
      <c r="Y522" s="2"/>
      <c r="Z522" s="2"/>
    </row>
    <row r="523">
      <c r="A523" s="2" t="str">
        <f>IFERROR(__xludf.DUMMYFUNCTION("""COMPUTED_VALUE"""),"The Bow of The Verdant Forest")</f>
        <v>The Bow of The Verdant Forest</v>
      </c>
      <c r="B523" s="2" t="str">
        <f>IFERROR(__xludf.DUMMYFUNCTION("""COMPUTED_VALUE"""),"Quest Item")</f>
        <v>Quest Item</v>
      </c>
      <c r="C523" s="2"/>
      <c r="D523" s="2" t="str">
        <f>IFERROR(__xludf.DUMMYFUNCTION("""COMPUTED_VALUE"""),"Hand")</f>
        <v>Hand</v>
      </c>
      <c r="E523" s="2">
        <f>IFERROR(__xludf.DUMMYFUNCTION("""COMPUTED_VALUE"""),200.0)</f>
        <v>200</v>
      </c>
      <c r="F523" s="2" t="str">
        <f>IFERROR(__xludf.DUMMYFUNCTION("""COMPUTED_VALUE"""),"DMG: +20000, Chaos DMG: +20000, Nature DMG: +20000, Celestial DMG: +5000 (Forest Paladin Set) ++X2 Nature damage. ++Verdant Shot: Fire a shot dealing your total defense as Nature damage 1000sp. +-Archer, Hunter, and Paladin of The Forest Class only.")</f>
        <v>DMG: +20000, Chaos DMG: +20000, Nature DMG: +20000, Celestial DMG: +5000 (Forest Paladin Set) ++X2 Nature damage. ++Verdant Shot: Fire a shot dealing your total defense as Nature damage 1000sp. +-Archer, Hunter, and Paladin of The Forest Class only.</v>
      </c>
      <c r="G523" s="2">
        <f>IFERROR(__xludf.DUMMYFUNCTION("""COMPUTED_VALUE"""),8.385E7)</f>
        <v>83850000</v>
      </c>
      <c r="H523" s="2"/>
      <c r="I523" s="2"/>
      <c r="J523" s="2"/>
      <c r="K523" s="2"/>
      <c r="L523" s="2"/>
      <c r="M523" s="2"/>
      <c r="N523" s="2"/>
      <c r="O523" s="2"/>
      <c r="P523" s="2"/>
      <c r="Q523" s="2"/>
      <c r="R523" s="2"/>
      <c r="S523" s="2"/>
      <c r="T523" s="2"/>
      <c r="U523" s="2"/>
      <c r="V523" s="2"/>
      <c r="W523" s="2"/>
      <c r="X523" s="2"/>
      <c r="Y523" s="2"/>
      <c r="Z523" s="2"/>
    </row>
    <row r="524">
      <c r="A524" s="2" t="str">
        <f>IFERROR(__xludf.DUMMYFUNCTION("""COMPUTED_VALUE"""),"Enchanted Wooden Buckler of The Verdant Forest")</f>
        <v>Enchanted Wooden Buckler of The Verdant Forest</v>
      </c>
      <c r="B524" s="2" t="str">
        <f>IFERROR(__xludf.DUMMYFUNCTION("""COMPUTED_VALUE"""),"Quest Item")</f>
        <v>Quest Item</v>
      </c>
      <c r="C524" s="2"/>
      <c r="D524" s="2" t="str">
        <f>IFERROR(__xludf.DUMMYFUNCTION("""COMPUTED_VALUE"""),"Hand")</f>
        <v>Hand</v>
      </c>
      <c r="E524" s="2">
        <f>IFERROR(__xludf.DUMMYFUNCTION("""COMPUTED_VALUE"""),200.0)</f>
        <v>200</v>
      </c>
      <c r="F524" s="2" t="str">
        <f>IFERROR(__xludf.DUMMYFUNCTION("""COMPUTED_VALUE"""),"DEF: +50000, Water DEF: +25000, Order DEF: +25000, Celestial DEF: +25000 (Forest Paladin Set) ++Counted as a weapon for the purpose of the parry ability. ++Nature's Law: When Fighting in a Natural Environment your total defense is doubled. +-Archer, Hunte"&amp;"r, and Paladin of The Forest Class only.")</f>
        <v>DEF: +50000, Water DEF: +25000, Order DEF: +25000, Celestial DEF: +25000 (Forest Paladin Set) ++Counted as a weapon for the purpose of the parry ability. ++Nature's Law: When Fighting in a Natural Environment your total defense is doubled. +-Archer, Hunter, and Paladin of The Forest Class only.</v>
      </c>
      <c r="G524" s="2">
        <f>IFERROR(__xludf.DUMMYFUNCTION("""COMPUTED_VALUE"""),3.1125E8)</f>
        <v>311250000</v>
      </c>
      <c r="H524" s="2"/>
      <c r="I524" s="2"/>
      <c r="J524" s="2"/>
      <c r="K524" s="2"/>
      <c r="L524" s="2"/>
      <c r="M524" s="2"/>
      <c r="N524" s="2"/>
      <c r="O524" s="2"/>
      <c r="P524" s="2"/>
      <c r="Q524" s="2"/>
      <c r="R524" s="2"/>
      <c r="S524" s="2"/>
      <c r="T524" s="2"/>
      <c r="U524" s="2"/>
      <c r="V524" s="2"/>
      <c r="W524" s="2"/>
      <c r="X524" s="2"/>
      <c r="Y524" s="2"/>
      <c r="Z524" s="2"/>
    </row>
    <row r="525">
      <c r="A525" s="2" t="str">
        <f>IFERROR(__xludf.DUMMYFUNCTION("""COMPUTED_VALUE"""),"Cowl of the Eagle's Sight")</f>
        <v>Cowl of the Eagle's Sight</v>
      </c>
      <c r="B525" s="2" t="str">
        <f>IFERROR(__xludf.DUMMYFUNCTION("""COMPUTED_VALUE"""),"Quest Item")</f>
        <v>Quest Item</v>
      </c>
      <c r="C525" s="2"/>
      <c r="D525" s="2" t="str">
        <f>IFERROR(__xludf.DUMMYFUNCTION("""COMPUTED_VALUE"""),"Head")</f>
        <v>Head</v>
      </c>
      <c r="E525" s="2">
        <f>IFERROR(__xludf.DUMMYFUNCTION("""COMPUTED_VALUE"""),200.0)</f>
        <v>200</v>
      </c>
      <c r="F525" s="2" t="str">
        <f>IFERROR(__xludf.DUMMYFUNCTION("""COMPUTED_VALUE"""),"DEF: +20000, Water DEF: +10000, Order DEF: +10000, Celestial DEF: +10000 (Forest Paladin Set) ++Blessing of The Greens I: X2 Nature damage. ++Eagle Eyed: When in a forest you gain Truesight for the first round of battle. +-Archer, Hunter, and Paladin of T"&amp;"he Forest Class only.")</f>
        <v>DEF: +20000, Water DEF: +10000, Order DEF: +10000, Celestial DEF: +10000 (Forest Paladin Set) ++Blessing of The Greens I: X2 Nature damage. ++Eagle Eyed: When in a forest you gain Truesight for the first round of battle. +-Archer, Hunter, and Paladin of The Forest Class only.</v>
      </c>
      <c r="G525" s="2">
        <f>IFERROR(__xludf.DUMMYFUNCTION("""COMPUTED_VALUE"""),4.95E7)</f>
        <v>49500000</v>
      </c>
      <c r="H525" s="2"/>
      <c r="I525" s="2"/>
      <c r="J525" s="2"/>
      <c r="K525" s="2"/>
      <c r="L525" s="2"/>
      <c r="M525" s="2"/>
      <c r="N525" s="2"/>
      <c r="O525" s="2"/>
      <c r="P525" s="2"/>
      <c r="Q525" s="2"/>
      <c r="R525" s="2"/>
      <c r="S525" s="2"/>
      <c r="T525" s="2"/>
      <c r="U525" s="2"/>
      <c r="V525" s="2"/>
      <c r="W525" s="2"/>
      <c r="X525" s="2"/>
      <c r="Y525" s="2"/>
      <c r="Z525" s="2"/>
    </row>
    <row r="526">
      <c r="A526" s="2" t="str">
        <f>IFERROR(__xludf.DUMMYFUNCTION("""COMPUTED_VALUE"""),"Ailettes of the Forest's Splendor")</f>
        <v>Ailettes of the Forest's Splendor</v>
      </c>
      <c r="B526" s="2" t="str">
        <f>IFERROR(__xludf.DUMMYFUNCTION("""COMPUTED_VALUE"""),"Quest Item")</f>
        <v>Quest Item</v>
      </c>
      <c r="C526" s="2"/>
      <c r="D526" s="2" t="str">
        <f>IFERROR(__xludf.DUMMYFUNCTION("""COMPUTED_VALUE"""),"Shoulders")</f>
        <v>Shoulders</v>
      </c>
      <c r="E526" s="2">
        <f>IFERROR(__xludf.DUMMYFUNCTION("""COMPUTED_VALUE"""),200.0)</f>
        <v>200</v>
      </c>
      <c r="F526" s="2" t="str">
        <f>IFERROR(__xludf.DUMMYFUNCTION("""COMPUTED_VALUE"""),"DEF: +20000, Water DEF: +10000, Order DEF: +10000, Celestial DEF: +10000 (Forest Paladin Set) ++Blessing of The Quiver I: X2 Bow damage. +-Archer, Hunter, and Paladin of The Forest Class only.")</f>
        <v>DEF: +20000, Water DEF: +10000, Order DEF: +10000, Celestial DEF: +10000 (Forest Paladin Set) ++Blessing of The Quiver I: X2 Bow damage. +-Archer, Hunter, and Paladin of The Forest Class only.</v>
      </c>
      <c r="G526" s="2">
        <f>IFERROR(__xludf.DUMMYFUNCTION("""COMPUTED_VALUE"""),4.95E7)</f>
        <v>49500000</v>
      </c>
      <c r="H526" s="2"/>
      <c r="I526" s="2"/>
      <c r="J526" s="2"/>
      <c r="K526" s="2"/>
      <c r="L526" s="2"/>
      <c r="M526" s="2"/>
      <c r="N526" s="2"/>
      <c r="O526" s="2"/>
      <c r="P526" s="2"/>
      <c r="Q526" s="2"/>
      <c r="R526" s="2"/>
      <c r="S526" s="2"/>
      <c r="T526" s="2"/>
      <c r="U526" s="2"/>
      <c r="V526" s="2"/>
      <c r="W526" s="2"/>
      <c r="X526" s="2"/>
      <c r="Y526" s="2"/>
      <c r="Z526" s="2"/>
    </row>
    <row r="527">
      <c r="A527" s="2" t="str">
        <f>IFERROR(__xludf.DUMMYFUNCTION("""COMPUTED_VALUE"""),"Bracer of Trueshot")</f>
        <v>Bracer of Trueshot</v>
      </c>
      <c r="B527" s="2" t="str">
        <f>IFERROR(__xludf.DUMMYFUNCTION("""COMPUTED_VALUE"""),"Quest Item")</f>
        <v>Quest Item</v>
      </c>
      <c r="C527" s="2"/>
      <c r="D527" s="2" t="str">
        <f>IFERROR(__xludf.DUMMYFUNCTION("""COMPUTED_VALUE"""),"Arms")</f>
        <v>Arms</v>
      </c>
      <c r="E527" s="2">
        <f>IFERROR(__xludf.DUMMYFUNCTION("""COMPUTED_VALUE"""),200.0)</f>
        <v>200</v>
      </c>
      <c r="F527" s="2" t="str">
        <f>IFERROR(__xludf.DUMMYFUNCTION("""COMPUTED_VALUE"""),"DEF: +20000, Water DEF: +10000, Order DEF: +10000, Celestial DEF: +10000 (Forest Paladin Set) ++Blessing of The Forest's Quiver: X2 Nature and Bow damage. ++Deadly Aim: Upon killing an enemy with a bow you double your next attack roll with a bow. +-Archer"&amp;", Hunter, and Paladin of The Forest Class only.")</f>
        <v>DEF: +20000, Water DEF: +10000, Order DEF: +10000, Celestial DEF: +10000 (Forest Paladin Set) ++Blessing of The Forest's Quiver: X2 Nature and Bow damage. ++Deadly Aim: Upon killing an enemy with a bow you double your next attack roll with a bow. +-Archer, Hunter, and Paladin of The Forest Class only.</v>
      </c>
      <c r="G527" s="2">
        <f>IFERROR(__xludf.DUMMYFUNCTION("""COMPUTED_VALUE"""),4.95E7)</f>
        <v>49500000</v>
      </c>
      <c r="H527" s="2"/>
      <c r="I527" s="2"/>
      <c r="J527" s="2"/>
      <c r="K527" s="2"/>
      <c r="L527" s="2"/>
      <c r="M527" s="2"/>
      <c r="N527" s="2"/>
      <c r="O527" s="2"/>
      <c r="P527" s="2"/>
      <c r="Q527" s="2"/>
      <c r="R527" s="2"/>
      <c r="S527" s="2"/>
      <c r="T527" s="2"/>
      <c r="U527" s="2"/>
      <c r="V527" s="2"/>
      <c r="W527" s="2"/>
      <c r="X527" s="2"/>
      <c r="Y527" s="2"/>
      <c r="Z527" s="2"/>
    </row>
    <row r="528">
      <c r="A528" s="2" t="str">
        <f>IFERROR(__xludf.DUMMYFUNCTION("""COMPUTED_VALUE"""),"Leather Cuirass of Barkskin")</f>
        <v>Leather Cuirass of Barkskin</v>
      </c>
      <c r="B528" s="2" t="str">
        <f>IFERROR(__xludf.DUMMYFUNCTION("""COMPUTED_VALUE"""),"Quest Item")</f>
        <v>Quest Item</v>
      </c>
      <c r="C528" s="2"/>
      <c r="D528" s="2" t="str">
        <f>IFERROR(__xludf.DUMMYFUNCTION("""COMPUTED_VALUE"""),"Torso")</f>
        <v>Torso</v>
      </c>
      <c r="E528" s="2">
        <f>IFERROR(__xludf.DUMMYFUNCTION("""COMPUTED_VALUE"""),200.0)</f>
        <v>200</v>
      </c>
      <c r="F528" s="2" t="str">
        <f>IFERROR(__xludf.DUMMYFUNCTION("""COMPUTED_VALUE"""),"DEF: +30000, Water DEF: +15000, Order DEF: +15000, Celestial DEF: +15000 (Forest Paladin Set) ++Blessing of The Greens I: X2 Nature damage. ++Barkskin: X2 defense for self. 50 sp. +-Archer, Hunter, and Paladin of The Forest Class only.")</f>
        <v>DEF: +30000, Water DEF: +15000, Order DEF: +15000, Celestial DEF: +15000 (Forest Paladin Set) ++Blessing of The Greens I: X2 Nature damage. ++Barkskin: X2 defense for self. 50 sp. +-Archer, Hunter, and Paladin of The Forest Class only.</v>
      </c>
      <c r="G528" s="2">
        <f>IFERROR(__xludf.DUMMYFUNCTION("""COMPUTED_VALUE"""),1.1175E8)</f>
        <v>111750000</v>
      </c>
      <c r="H528" s="2"/>
      <c r="I528" s="2"/>
      <c r="J528" s="2"/>
      <c r="K528" s="2"/>
      <c r="L528" s="2"/>
      <c r="M528" s="2"/>
      <c r="N528" s="2"/>
      <c r="O528" s="2"/>
      <c r="P528" s="2"/>
      <c r="Q528" s="2"/>
      <c r="R528" s="2"/>
      <c r="S528" s="2"/>
      <c r="T528" s="2"/>
      <c r="U528" s="2"/>
      <c r="V528" s="2"/>
      <c r="W528" s="2"/>
      <c r="X528" s="2"/>
      <c r="Y528" s="2"/>
      <c r="Z528" s="2"/>
    </row>
    <row r="529">
      <c r="A529" s="2" t="str">
        <f>IFERROR(__xludf.DUMMYFUNCTION("""COMPUTED_VALUE"""),"Greaves of The Verdant Forest")</f>
        <v>Greaves of The Verdant Forest</v>
      </c>
      <c r="B529" s="2" t="str">
        <f>IFERROR(__xludf.DUMMYFUNCTION("""COMPUTED_VALUE"""),"Quest Item")</f>
        <v>Quest Item</v>
      </c>
      <c r="C529" s="2"/>
      <c r="D529" s="2" t="str">
        <f>IFERROR(__xludf.DUMMYFUNCTION("""COMPUTED_VALUE"""),"Legs")</f>
        <v>Legs</v>
      </c>
      <c r="E529" s="2">
        <f>IFERROR(__xludf.DUMMYFUNCTION("""COMPUTED_VALUE"""),200.0)</f>
        <v>200</v>
      </c>
      <c r="F529" s="2" t="str">
        <f>IFERROR(__xludf.DUMMYFUNCTION("""COMPUTED_VALUE"""),"DEF: +20000, Water DEF: +10000, Order DEF: +10000, Celestial DEF: +10000 (Forest Paladin Set) ++Blessing of The Quiver I: X2 Bow damage. +-Archer, Hunter, and Paladin of The Forest Class only.")</f>
        <v>DEF: +20000, Water DEF: +10000, Order DEF: +10000, Celestial DEF: +10000 (Forest Paladin Set) ++Blessing of The Quiver I: X2 Bow damage. +-Archer, Hunter, and Paladin of The Forest Class only.</v>
      </c>
      <c r="G529" s="2">
        <f>IFERROR(__xludf.DUMMYFUNCTION("""COMPUTED_VALUE"""),4.95E7)</f>
        <v>49500000</v>
      </c>
      <c r="H529" s="2"/>
      <c r="I529" s="2"/>
      <c r="J529" s="2"/>
      <c r="K529" s="2"/>
      <c r="L529" s="2"/>
      <c r="M529" s="2"/>
      <c r="N529" s="2"/>
      <c r="O529" s="2"/>
      <c r="P529" s="2"/>
      <c r="Q529" s="2"/>
      <c r="R529" s="2"/>
      <c r="S529" s="2"/>
      <c r="T529" s="2"/>
      <c r="U529" s="2"/>
      <c r="V529" s="2"/>
      <c r="W529" s="2"/>
      <c r="X529" s="2"/>
      <c r="Y529" s="2"/>
      <c r="Z529" s="2"/>
    </row>
    <row r="530">
      <c r="A530" s="2" t="str">
        <f>IFERROR(__xludf.DUMMYFUNCTION("""COMPUTED_VALUE"""),"Boots of The Verdant Forest")</f>
        <v>Boots of The Verdant Forest</v>
      </c>
      <c r="B530" s="2" t="str">
        <f>IFERROR(__xludf.DUMMYFUNCTION("""COMPUTED_VALUE"""),"Quest Item")</f>
        <v>Quest Item</v>
      </c>
      <c r="C530" s="2"/>
      <c r="D530" s="2" t="str">
        <f>IFERROR(__xludf.DUMMYFUNCTION("""COMPUTED_VALUE"""),"Feet")</f>
        <v>Feet</v>
      </c>
      <c r="E530" s="2">
        <f>IFERROR(__xludf.DUMMYFUNCTION("""COMPUTED_VALUE"""),200.0)</f>
        <v>200</v>
      </c>
      <c r="F530" s="2" t="str">
        <f>IFERROR(__xludf.DUMMYFUNCTION("""COMPUTED_VALUE"""),"DEF: +20000, Water DEF: +10000, Order DEF: +10000, Celestial DEF: +10000 (Forest Paladin Set) Blessing of The Greens I: X2 Nature damage. Deal X4 Nature damage for the first bow attack you make under the effect of haste +-Archer, Hunter, and Paladin of Th"&amp;"e Forest Class only.")</f>
        <v>DEF: +20000, Water DEF: +10000, Order DEF: +10000, Celestial DEF: +10000 (Forest Paladin Set) Blessing of The Greens I: X2 Nature damage. Deal X4 Nature damage for the first bow attack you make under the effect of haste +-Archer, Hunter, and Paladin of The Forest Class only.</v>
      </c>
      <c r="G530" s="2">
        <f>IFERROR(__xludf.DUMMYFUNCTION("""COMPUTED_VALUE"""),4.95E7)</f>
        <v>49500000</v>
      </c>
      <c r="H530" s="2"/>
      <c r="I530" s="2"/>
      <c r="J530" s="2"/>
      <c r="K530" s="2"/>
      <c r="L530" s="2"/>
      <c r="M530" s="2"/>
      <c r="N530" s="2"/>
      <c r="O530" s="2"/>
      <c r="P530" s="2"/>
      <c r="Q530" s="2"/>
      <c r="R530" s="2"/>
      <c r="S530" s="2"/>
      <c r="T530" s="2"/>
      <c r="U530" s="2"/>
      <c r="V530" s="2"/>
      <c r="W530" s="2"/>
      <c r="X530" s="2"/>
      <c r="Y530" s="2"/>
      <c r="Z530" s="2"/>
    </row>
    <row r="531">
      <c r="A531" s="2" t="str">
        <f>IFERROR(__xludf.DUMMYFUNCTION("""COMPUTED_VALUE"""),"Emerald Ring of The Forest")</f>
        <v>Emerald Ring of The Forest</v>
      </c>
      <c r="B531" s="2" t="str">
        <f>IFERROR(__xludf.DUMMYFUNCTION("""COMPUTED_VALUE"""),"Quest Item")</f>
        <v>Quest Item</v>
      </c>
      <c r="C531" s="2"/>
      <c r="D531" s="2" t="str">
        <f>IFERROR(__xludf.DUMMYFUNCTION("""COMPUTED_VALUE"""),"Ring")</f>
        <v>Ring</v>
      </c>
      <c r="E531" s="2">
        <f>IFERROR(__xludf.DUMMYFUNCTION("""COMPUTED_VALUE"""),1.0)</f>
        <v>1</v>
      </c>
      <c r="F531" s="2" t="str">
        <f>IFERROR(__xludf.DUMMYFUNCTION("""COMPUTED_VALUE""")," (Forest Paladin Set) ++Regrowth: Heals target by 5000 and grants them Invigorated 5, 75sp. ++X4 outgoing healing +-Archer, Hunter, and Paladin of The Forest Class only.")</f>
        <v> (Forest Paladin Set) ++Regrowth: Heals target by 5000 and grants them Invigorated 5, 75sp. ++X4 outgoing healing +-Archer, Hunter, and Paladin of The Forest Class only.</v>
      </c>
      <c r="G531" s="2">
        <f>IFERROR(__xludf.DUMMYFUNCTION("""COMPUTED_VALUE"""),0.0)</f>
        <v>0</v>
      </c>
      <c r="H531" s="2"/>
      <c r="I531" s="2"/>
      <c r="J531" s="2"/>
      <c r="K531" s="2"/>
      <c r="L531" s="2"/>
      <c r="M531" s="2"/>
      <c r="N531" s="2"/>
      <c r="O531" s="2"/>
      <c r="P531" s="2"/>
      <c r="Q531" s="2"/>
      <c r="R531" s="2"/>
      <c r="S531" s="2"/>
      <c r="T531" s="2"/>
      <c r="U531" s="2"/>
      <c r="V531" s="2"/>
      <c r="W531" s="2"/>
      <c r="X531" s="2"/>
      <c r="Y531" s="2"/>
      <c r="Z531" s="2"/>
    </row>
    <row r="532">
      <c r="A532" s="2" t="str">
        <f>IFERROR(__xludf.DUMMYFUNCTION("""COMPUTED_VALUE"""),"Emerald Amulet of The Forest")</f>
        <v>Emerald Amulet of The Forest</v>
      </c>
      <c r="B532" s="2" t="str">
        <f>IFERROR(__xludf.DUMMYFUNCTION("""COMPUTED_VALUE"""),"Quest Item")</f>
        <v>Quest Item</v>
      </c>
      <c r="C532" s="2"/>
      <c r="D532" s="2" t="str">
        <f>IFERROR(__xludf.DUMMYFUNCTION("""COMPUTED_VALUE"""),"Neck")</f>
        <v>Neck</v>
      </c>
      <c r="E532" s="2">
        <f>IFERROR(__xludf.DUMMYFUNCTION("""COMPUTED_VALUE"""),1.0)</f>
        <v>1</v>
      </c>
      <c r="F532" s="2" t="str">
        <f>IFERROR(__xludf.DUMMYFUNCTION("""COMPUTED_VALUE""")," (Forest Paladin Set) ++Artemis' Godly Grace: Grants all allies Invigorated 5, Haste 3, Truesight 3, and 4X defense and Nature Damage, can only be casted once per battle, 500 sp +-Archer, Hunter, and Paladin of The Forest Class only.")</f>
        <v> (Forest Paladin Set) ++Artemis' Godly Grace: Grants all allies Invigorated 5, Haste 3, Truesight 3, and 4X defense and Nature Damage, can only be casted once per battle, 500 sp +-Archer, Hunter, and Paladin of The Forest Class only.</v>
      </c>
      <c r="G532" s="2">
        <f>IFERROR(__xludf.DUMMYFUNCTION("""COMPUTED_VALUE"""),0.0)</f>
        <v>0</v>
      </c>
      <c r="H532" s="2"/>
      <c r="I532" s="2"/>
      <c r="J532" s="2"/>
      <c r="K532" s="2"/>
      <c r="L532" s="2"/>
      <c r="M532" s="2"/>
      <c r="N532" s="2"/>
      <c r="O532" s="2"/>
      <c r="P532" s="2"/>
      <c r="Q532" s="2"/>
      <c r="R532" s="2"/>
      <c r="S532" s="2"/>
      <c r="T532" s="2"/>
      <c r="U532" s="2"/>
      <c r="V532" s="2"/>
      <c r="W532" s="2"/>
      <c r="X532" s="2"/>
      <c r="Y532" s="2"/>
      <c r="Z532" s="2"/>
    </row>
    <row r="533">
      <c r="A533" s="2" t="str">
        <f>IFERROR(__xludf.DUMMYFUNCTION("""COMPUTED_VALUE"""),"Artemis' Crown of The Forest")</f>
        <v>Artemis' Crown of The Forest</v>
      </c>
      <c r="B533" s="2" t="str">
        <f>IFERROR(__xludf.DUMMYFUNCTION("""COMPUTED_VALUE"""),"Mob Exclusive. The crown that was gifted to Aranyani upon her ascension to godhood")</f>
        <v>Mob Exclusive. The crown that was gifted to Aranyani upon her ascension to godhood</v>
      </c>
      <c r="C533" s="2"/>
      <c r="D533" s="2" t="str">
        <f>IFERROR(__xludf.DUMMYFUNCTION("""COMPUTED_VALUE"""),"Head")</f>
        <v>Head</v>
      </c>
      <c r="E533" s="2">
        <f>IFERROR(__xludf.DUMMYFUNCTION("""COMPUTED_VALUE"""),2000.0)</f>
        <v>2000</v>
      </c>
      <c r="F533" s="2" t="str">
        <f>IFERROR(__xludf.DUMMYFUNCTION("""COMPUTED_VALUE"""),"DEF: +50000, Water DEF: +25000, Order DEF: +25000 ++Blessing of the Forest's Quiver II: X4 Nature and Bow damage. ++Eagle Eyed: When in a forest you gain Truesight for the first round of battle. ++Goddess's Cold Stare: 15% chance to Freeze all enemies (no"&amp;"t affected by modifiers) 1000SP. +-can only be equipped by Artemis.")</f>
        <v>DEF: +50000, Water DEF: +25000, Order DEF: +25000 ++Blessing of the Forest's Quiver II: X4 Nature and Bow damage. ++Eagle Eyed: When in a forest you gain Truesight for the first round of battle. ++Goddess's Cold Stare: 15% chance to Freeze all enemies (not affected by modifiers) 1000SP. +-can only be equipped by Artemis.</v>
      </c>
      <c r="G533" s="2">
        <f>IFERROR(__xludf.DUMMYFUNCTION("""COMPUTED_VALUE"""),1.99E8)</f>
        <v>199000000</v>
      </c>
      <c r="H533" s="2"/>
      <c r="I533" s="2"/>
      <c r="J533" s="2"/>
      <c r="K533" s="2"/>
      <c r="L533" s="2"/>
      <c r="M533" s="2"/>
      <c r="N533" s="2"/>
      <c r="O533" s="2"/>
      <c r="P533" s="2"/>
      <c r="Q533" s="2"/>
      <c r="R533" s="2"/>
      <c r="S533" s="2"/>
      <c r="T533" s="2"/>
      <c r="U533" s="2"/>
      <c r="V533" s="2"/>
      <c r="W533" s="2"/>
      <c r="X533" s="2"/>
      <c r="Y533" s="2"/>
      <c r="Z533" s="2"/>
    </row>
    <row r="534">
      <c r="A534" s="2" t="str">
        <f>IFERROR(__xludf.DUMMYFUNCTION("""COMPUTED_VALUE"""),"Artemis' Bow of Divine Wrath")</f>
        <v>Artemis' Bow of Divine Wrath</v>
      </c>
      <c r="B534" s="2" t="str">
        <f>IFERROR(__xludf.DUMMYFUNCTION("""COMPUTED_VALUE"""),"Mob Exclusive.")</f>
        <v>Mob Exclusive.</v>
      </c>
      <c r="C534" s="2" t="str">
        <f>IFERROR(__xludf.DUMMYFUNCTION("""COMPUTED_VALUE"""),"Bow")</f>
        <v>Bow</v>
      </c>
      <c r="D534" s="2" t="str">
        <f>IFERROR(__xludf.DUMMYFUNCTION("""COMPUTED_VALUE"""),"Hand")</f>
        <v>Hand</v>
      </c>
      <c r="E534" s="2">
        <f>IFERROR(__xludf.DUMMYFUNCTION("""COMPUTED_VALUE"""),12000.0)</f>
        <v>12000</v>
      </c>
      <c r="F534" s="2" t="str">
        <f>IFERROR(__xludf.DUMMYFUNCTION("""COMPUTED_VALUE"""),"DMG: +200000, Chaos DMG: +200000, Nature DMG: +200000 ++Marked: When affected by Truesight you can mark a single target as per the effect ""Marked"" for 1 round. 20 sp. ++The target cannot resist or be immune to this weapon attack  +-can only be equipped "&amp;"by Artemis")</f>
        <v>DMG: +200000, Chaos DMG: +200000, Nature DMG: +200000 ++Marked: When affected by Truesight you can mark a single target as per the effect "Marked" for 1 round. 20 sp. ++The target cannot resist or be immune to this weapon attack  +-can only be equipped by Artemis</v>
      </c>
      <c r="G534" s="2">
        <f>IFERROR(__xludf.DUMMYFUNCTION("""COMPUTED_VALUE"""),7.194E9)</f>
        <v>7194000000</v>
      </c>
      <c r="H534" s="2"/>
      <c r="I534" s="2"/>
      <c r="J534" s="2"/>
      <c r="K534" s="2"/>
      <c r="L534" s="2"/>
      <c r="M534" s="2"/>
      <c r="N534" s="2"/>
      <c r="O534" s="2"/>
      <c r="P534" s="2"/>
      <c r="Q534" s="2"/>
      <c r="R534" s="2"/>
      <c r="S534" s="2"/>
      <c r="T534" s="2"/>
      <c r="U534" s="2"/>
      <c r="V534" s="2"/>
      <c r="W534" s="2"/>
      <c r="X534" s="2"/>
      <c r="Y534" s="2"/>
      <c r="Z534" s="2"/>
    </row>
    <row r="535">
      <c r="A535" s="2" t="str">
        <f>IFERROR(__xludf.DUMMYFUNCTION("""COMPUTED_VALUE"""),"Artemis' Shield of Divine Grace")</f>
        <v>Artemis' Shield of Divine Grace</v>
      </c>
      <c r="B535" s="2" t="str">
        <f>IFERROR(__xludf.DUMMYFUNCTION("""COMPUTED_VALUE"""),"Mob Exclusive")</f>
        <v>Mob Exclusive</v>
      </c>
      <c r="C535" s="2" t="str">
        <f>IFERROR(__xludf.DUMMYFUNCTION("""COMPUTED_VALUE"""),"Buckler")</f>
        <v>Buckler</v>
      </c>
      <c r="D535" s="2" t="str">
        <f>IFERROR(__xludf.DUMMYFUNCTION("""COMPUTED_VALUE"""),"Hand")</f>
        <v>Hand</v>
      </c>
      <c r="E535" s="2">
        <f>IFERROR(__xludf.DUMMYFUNCTION("""COMPUTED_VALUE"""),6000.0)</f>
        <v>6000</v>
      </c>
      <c r="F535" s="2" t="str">
        <f>IFERROR(__xludf.DUMMYFUNCTION("""COMPUTED_VALUE"""),"DEF: +150000, Water DEF: +75000, Order DEF: +75000 ++Living Shield: When hit by a weapon attack 50% chance to inflict slowness 3 and disarm 3, +-can only be equipped by Artemis.")</f>
        <v>DEF: +150000, Water DEF: +75000, Order DEF: +75000 ++Living Shield: When hit by a weapon attack 50% chance to inflict slowness 3 and disarm 3, +-can only be equipped by Artemis.</v>
      </c>
      <c r="G535" s="2">
        <f>IFERROR(__xludf.DUMMYFUNCTION("""COMPUTED_VALUE"""),1.797E9)</f>
        <v>1797000000</v>
      </c>
      <c r="H535" s="2"/>
      <c r="I535" s="2"/>
      <c r="J535" s="2"/>
      <c r="K535" s="2"/>
      <c r="L535" s="2"/>
      <c r="M535" s="2"/>
      <c r="N535" s="2"/>
      <c r="O535" s="2"/>
      <c r="P535" s="2"/>
      <c r="Q535" s="2"/>
      <c r="R535" s="2"/>
      <c r="S535" s="2"/>
      <c r="T535" s="2"/>
      <c r="U535" s="2"/>
      <c r="V535" s="2"/>
      <c r="W535" s="2"/>
      <c r="X535" s="2"/>
      <c r="Y535" s="2"/>
      <c r="Z535" s="2"/>
    </row>
    <row r="536">
      <c r="A536" s="2" t="str">
        <f>IFERROR(__xludf.DUMMYFUNCTION("""COMPUTED_VALUE"""),"Artemis' Divine Quiver")</f>
        <v>Artemis' Divine Quiver</v>
      </c>
      <c r="B536" s="2" t="str">
        <f>IFERROR(__xludf.DUMMYFUNCTION("""COMPUTED_VALUE"""),"Mob Exclusive")</f>
        <v>Mob Exclusive</v>
      </c>
      <c r="C536" s="2"/>
      <c r="D536" s="2" t="str">
        <f>IFERROR(__xludf.DUMMYFUNCTION("""COMPUTED_VALUE"""),"Shoulders")</f>
        <v>Shoulders</v>
      </c>
      <c r="E536" s="2">
        <f>IFERROR(__xludf.DUMMYFUNCTION("""COMPUTED_VALUE"""),1.0)</f>
        <v>1</v>
      </c>
      <c r="F536" s="2" t="str">
        <f>IFERROR(__xludf.DUMMYFUNCTION("""COMPUTED_VALUE""")," ++Blessing of the Forest's Quiver II: X4 Nature and Bow damage. ++Godspeed: Wearer Gets 2 actions every round. ++Quick Shot: Attack twice with your bow 10000 sp. +-can only be equipped by Artemis.")</f>
        <v> ++Blessing of the Forest's Quiver II: X4 Nature and Bow damage. ++Godspeed: Wearer Gets 2 actions every round. ++Quick Shot: Attack twice with your bow 10000 sp. +-can only be equipped by Artemis.</v>
      </c>
      <c r="G536" s="2">
        <f>IFERROR(__xludf.DUMMYFUNCTION("""COMPUTED_VALUE"""),0.0)</f>
        <v>0</v>
      </c>
      <c r="H536" s="2"/>
      <c r="I536" s="2"/>
      <c r="J536" s="2"/>
      <c r="K536" s="2"/>
      <c r="L536" s="2"/>
      <c r="M536" s="2"/>
      <c r="N536" s="2"/>
      <c r="O536" s="2"/>
      <c r="P536" s="2"/>
      <c r="Q536" s="2"/>
      <c r="R536" s="2"/>
      <c r="S536" s="2"/>
      <c r="T536" s="2"/>
      <c r="U536" s="2"/>
      <c r="V536" s="2"/>
      <c r="W536" s="2"/>
      <c r="X536" s="2"/>
      <c r="Y536" s="2"/>
      <c r="Z536" s="2"/>
    </row>
    <row r="537">
      <c r="A537" s="2" t="str">
        <f>IFERROR(__xludf.DUMMYFUNCTION("""COMPUTED_VALUE"""),"Artemis' Toga of Divine Beauty")</f>
        <v>Artemis' Toga of Divine Beauty</v>
      </c>
      <c r="B537" s="2" t="str">
        <f>IFERROR(__xludf.DUMMYFUNCTION("""COMPUTED_VALUE"""),"Mob Exclusive")</f>
        <v>Mob Exclusive</v>
      </c>
      <c r="C537" s="2"/>
      <c r="D537" s="2" t="str">
        <f>IFERROR(__xludf.DUMMYFUNCTION("""COMPUTED_VALUE"""),"Torso")</f>
        <v>Torso</v>
      </c>
      <c r="E537" s="2">
        <f>IFERROR(__xludf.DUMMYFUNCTION("""COMPUTED_VALUE"""),4000.0)</f>
        <v>4000</v>
      </c>
      <c r="F537" s="2" t="str">
        <f>IFERROR(__xludf.DUMMYFUNCTION("""COMPUTED_VALUE"""),"DEF: +100000, Water DEF: +50000, Order DEF: +50000 ++Blessing of the Forest's Quiver II: X4 Nature and Bow damage. ++Godly Charm: 10% chance at the start of battle to force an enemy to fight for you +-can only be equipped by Artemis.")</f>
        <v>DEF: +100000, Water DEF: +50000, Order DEF: +50000 ++Blessing of the Forest's Quiver II: X4 Nature and Bow damage. ++Godly Charm: 10% chance at the start of battle to force an enemy to fight for you +-can only be equipped by Artemis.</v>
      </c>
      <c r="G537" s="2">
        <f>IFERROR(__xludf.DUMMYFUNCTION("""COMPUTED_VALUE"""),7.98E8)</f>
        <v>798000000</v>
      </c>
      <c r="H537" s="2"/>
      <c r="I537" s="2"/>
      <c r="J537" s="2"/>
      <c r="K537" s="2"/>
      <c r="L537" s="2"/>
      <c r="M537" s="2"/>
      <c r="N537" s="2"/>
      <c r="O537" s="2"/>
      <c r="P537" s="2"/>
      <c r="Q537" s="2"/>
      <c r="R537" s="2"/>
      <c r="S537" s="2"/>
      <c r="T537" s="2"/>
      <c r="U537" s="2"/>
      <c r="V537" s="2"/>
      <c r="W537" s="2"/>
      <c r="X537" s="2"/>
      <c r="Y537" s="2"/>
      <c r="Z537" s="2"/>
    </row>
    <row r="538">
      <c r="A538" s="2" t="str">
        <f>IFERROR(__xludf.DUMMYFUNCTION("""COMPUTED_VALUE"""),"Artemis' Bracer of The Archer Goddess")</f>
        <v>Artemis' Bracer of The Archer Goddess</v>
      </c>
      <c r="B538" s="2" t="str">
        <f>IFERROR(__xludf.DUMMYFUNCTION("""COMPUTED_VALUE"""),"Mob Exclusive")</f>
        <v>Mob Exclusive</v>
      </c>
      <c r="C538" s="2"/>
      <c r="D538" s="2" t="str">
        <f>IFERROR(__xludf.DUMMYFUNCTION("""COMPUTED_VALUE"""),"Arms")</f>
        <v>Arms</v>
      </c>
      <c r="E538" s="2">
        <f>IFERROR(__xludf.DUMMYFUNCTION("""COMPUTED_VALUE"""),2000.0)</f>
        <v>2000</v>
      </c>
      <c r="F538" s="2" t="str">
        <f>IFERROR(__xludf.DUMMYFUNCTION("""COMPUTED_VALUE"""),"DEF: +50000, Water DEF: +25000, Order DEF: +25000 ++Blessing of the Forest's Quiver II: X4 Nature and Bow damage. ++Godly Archery: When you hit an enemy with your bow you gain the effects of Haste +-can only be equipped by Artemis.")</f>
        <v>DEF: +50000, Water DEF: +25000, Order DEF: +25000 ++Blessing of the Forest's Quiver II: X4 Nature and Bow damage. ++Godly Archery: When you hit an enemy with your bow you gain the effects of Haste +-can only be equipped by Artemis.</v>
      </c>
      <c r="G538" s="2">
        <f>IFERROR(__xludf.DUMMYFUNCTION("""COMPUTED_VALUE"""),1.99E8)</f>
        <v>199000000</v>
      </c>
      <c r="H538" s="2"/>
      <c r="I538" s="2"/>
      <c r="J538" s="2"/>
      <c r="K538" s="2"/>
      <c r="L538" s="2"/>
      <c r="M538" s="2"/>
      <c r="N538" s="2"/>
      <c r="O538" s="2"/>
      <c r="P538" s="2"/>
      <c r="Q538" s="2"/>
      <c r="R538" s="2"/>
      <c r="S538" s="2"/>
      <c r="T538" s="2"/>
      <c r="U538" s="2"/>
      <c r="V538" s="2"/>
      <c r="W538" s="2"/>
      <c r="X538" s="2"/>
      <c r="Y538" s="2"/>
      <c r="Z538" s="2"/>
    </row>
    <row r="539">
      <c r="A539" s="2" t="str">
        <f>IFERROR(__xludf.DUMMYFUNCTION("""COMPUTED_VALUE"""),"Artemis' Leggings of Divine Agility")</f>
        <v>Artemis' Leggings of Divine Agility</v>
      </c>
      <c r="B539" s="2" t="str">
        <f>IFERROR(__xludf.DUMMYFUNCTION("""COMPUTED_VALUE"""),"Mob Exclusive")</f>
        <v>Mob Exclusive</v>
      </c>
      <c r="C539" s="2"/>
      <c r="D539" s="2" t="str">
        <f>IFERROR(__xludf.DUMMYFUNCTION("""COMPUTED_VALUE"""),"Legs")</f>
        <v>Legs</v>
      </c>
      <c r="E539" s="2">
        <f>IFERROR(__xludf.DUMMYFUNCTION("""COMPUTED_VALUE"""),2000.0)</f>
        <v>2000</v>
      </c>
      <c r="F539" s="2" t="str">
        <f>IFERROR(__xludf.DUMMYFUNCTION("""COMPUTED_VALUE"""),"DEF: +50000, Water DEF: +25000, Order DEF: +25000 ++Blessing of The Greens II: X4 Nature Damage +-can only be equipped by Artemis")</f>
        <v>DEF: +50000, Water DEF: +25000, Order DEF: +25000 ++Blessing of The Greens II: X4 Nature Damage +-can only be equipped by Artemis</v>
      </c>
      <c r="G539" s="2">
        <f>IFERROR(__xludf.DUMMYFUNCTION("""COMPUTED_VALUE"""),1.99E8)</f>
        <v>199000000</v>
      </c>
      <c r="H539" s="2"/>
      <c r="I539" s="2"/>
      <c r="J539" s="2"/>
      <c r="K539" s="2"/>
      <c r="L539" s="2"/>
      <c r="M539" s="2"/>
      <c r="N539" s="2"/>
      <c r="O539" s="2"/>
      <c r="P539" s="2"/>
      <c r="Q539" s="2"/>
      <c r="R539" s="2"/>
      <c r="S539" s="2"/>
      <c r="T539" s="2"/>
      <c r="U539" s="2"/>
      <c r="V539" s="2"/>
      <c r="W539" s="2"/>
      <c r="X539" s="2"/>
      <c r="Y539" s="2"/>
      <c r="Z539" s="2"/>
    </row>
    <row r="540">
      <c r="A540" s="2" t="str">
        <f>IFERROR(__xludf.DUMMYFUNCTION("""COMPUTED_VALUE"""),"Artemis' Sandals of Divine Speed")</f>
        <v>Artemis' Sandals of Divine Speed</v>
      </c>
      <c r="B540" s="2" t="str">
        <f>IFERROR(__xludf.DUMMYFUNCTION("""COMPUTED_VALUE"""),"Mob Exclusive")</f>
        <v>Mob Exclusive</v>
      </c>
      <c r="C540" s="2"/>
      <c r="D540" s="2" t="str">
        <f>IFERROR(__xludf.DUMMYFUNCTION("""COMPUTED_VALUE"""),"Feet")</f>
        <v>Feet</v>
      </c>
      <c r="E540" s="2">
        <f>IFERROR(__xludf.DUMMYFUNCTION("""COMPUTED_VALUE"""),2000.0)</f>
        <v>2000</v>
      </c>
      <c r="F540" s="2" t="str">
        <f>IFERROR(__xludf.DUMMYFUNCTION("""COMPUTED_VALUE"""),"DEF: +50000, Water DEF: +25000, Order DEF: +25000 ++Blessing of Speed: when affected by haste you gain an extra action. +-can only be equipped by Artemis.")</f>
        <v>DEF: +50000, Water DEF: +25000, Order DEF: +25000 ++Blessing of Speed: when affected by haste you gain an extra action. +-can only be equipped by Artemis.</v>
      </c>
      <c r="G540" s="2">
        <f>IFERROR(__xludf.DUMMYFUNCTION("""COMPUTED_VALUE"""),1.99E8)</f>
        <v>199000000</v>
      </c>
      <c r="H540" s="2"/>
      <c r="I540" s="2"/>
      <c r="J540" s="2"/>
      <c r="K540" s="2"/>
      <c r="L540" s="2"/>
      <c r="M540" s="2"/>
      <c r="N540" s="2"/>
      <c r="O540" s="2"/>
      <c r="P540" s="2"/>
      <c r="Q540" s="2"/>
      <c r="R540" s="2"/>
      <c r="S540" s="2"/>
      <c r="T540" s="2"/>
      <c r="U540" s="2"/>
      <c r="V540" s="2"/>
      <c r="W540" s="2"/>
      <c r="X540" s="2"/>
      <c r="Y540" s="2"/>
      <c r="Z540" s="2"/>
    </row>
    <row r="541">
      <c r="A541" s="2" t="str">
        <f>IFERROR(__xludf.DUMMYFUNCTION("""COMPUTED_VALUE"""),"Artemis' Ring")</f>
        <v>Artemis' Ring</v>
      </c>
      <c r="B541" s="2" t="str">
        <f>IFERROR(__xludf.DUMMYFUNCTION("""COMPUTED_VALUE"""),"Mob Exclusive")</f>
        <v>Mob Exclusive</v>
      </c>
      <c r="C541" s="2"/>
      <c r="D541" s="2" t="str">
        <f>IFERROR(__xludf.DUMMYFUNCTION("""COMPUTED_VALUE"""),"Ring")</f>
        <v>Ring</v>
      </c>
      <c r="E541" s="2">
        <f>IFERROR(__xludf.DUMMYFUNCTION("""COMPUTED_VALUE"""),1.0)</f>
        <v>1</v>
      </c>
      <c r="F541" s="2" t="str">
        <f>IFERROR(__xludf.DUMMYFUNCTION("""COMPUTED_VALUE""")," ++10% chance to revive after dying once. +-can only be equipped by Artemis.")</f>
        <v> ++10% chance to revive after dying once. +-can only be equipped by Artemis.</v>
      </c>
      <c r="G541" s="2">
        <f>IFERROR(__xludf.DUMMYFUNCTION("""COMPUTED_VALUE"""),0.0)</f>
        <v>0</v>
      </c>
      <c r="H541" s="2"/>
      <c r="I541" s="2"/>
      <c r="J541" s="2"/>
      <c r="K541" s="2"/>
      <c r="L541" s="2"/>
      <c r="M541" s="2"/>
      <c r="N541" s="2"/>
      <c r="O541" s="2"/>
      <c r="P541" s="2"/>
      <c r="Q541" s="2"/>
      <c r="R541" s="2"/>
      <c r="S541" s="2"/>
      <c r="T541" s="2"/>
      <c r="U541" s="2"/>
      <c r="V541" s="2"/>
      <c r="W541" s="2"/>
      <c r="X541" s="2"/>
      <c r="Y541" s="2"/>
      <c r="Z541" s="2"/>
    </row>
    <row r="542">
      <c r="A542" s="2" t="str">
        <f>IFERROR(__xludf.DUMMYFUNCTION("""COMPUTED_VALUE"""),"Artemis' Fang Necklace")</f>
        <v>Artemis' Fang Necklace</v>
      </c>
      <c r="B542" s="2" t="str">
        <f>IFERROR(__xludf.DUMMYFUNCTION("""COMPUTED_VALUE"""),"Mob Exclusive")</f>
        <v>Mob Exclusive</v>
      </c>
      <c r="C542" s="2"/>
      <c r="D542" s="2" t="str">
        <f>IFERROR(__xludf.DUMMYFUNCTION("""COMPUTED_VALUE"""),"Neck")</f>
        <v>Neck</v>
      </c>
      <c r="E542" s="2">
        <f>IFERROR(__xludf.DUMMYFUNCTION("""COMPUTED_VALUE"""),1.0)</f>
        <v>1</v>
      </c>
      <c r="F542" s="2" t="str">
        <f>IFERROR(__xludf.DUMMYFUNCTION("""COMPUTED_VALUE""")," Upon killing an enemy you emit a sharp aura with a 10% chance of instant death to all enemies. +-can only be equipped by Artemis.")</f>
        <v> Upon killing an enemy you emit a sharp aura with a 10% chance of instant death to all enemies. +-can only be equipped by Artemis.</v>
      </c>
      <c r="G542" s="2">
        <f>IFERROR(__xludf.DUMMYFUNCTION("""COMPUTED_VALUE"""),0.0)</f>
        <v>0</v>
      </c>
      <c r="H542" s="2"/>
      <c r="I542" s="2"/>
      <c r="J542" s="2"/>
      <c r="K542" s="2"/>
      <c r="L542" s="2"/>
      <c r="M542" s="2"/>
      <c r="N542" s="2"/>
      <c r="O542" s="2"/>
      <c r="P542" s="2"/>
      <c r="Q542" s="2"/>
      <c r="R542" s="2"/>
      <c r="S542" s="2"/>
      <c r="T542" s="2"/>
      <c r="U542" s="2"/>
      <c r="V542" s="2"/>
      <c r="W542" s="2"/>
      <c r="X542" s="2"/>
      <c r="Y542" s="2"/>
      <c r="Z542" s="2"/>
    </row>
    <row r="543">
      <c r="A543" s="2" t="str">
        <f>IFERROR(__xludf.DUMMYFUNCTION("""COMPUTED_VALUE"""),"Forged Paladin's Helm")</f>
        <v>Forged Paladin's Helm</v>
      </c>
      <c r="B543" s="2" t="str">
        <f>IFERROR(__xludf.DUMMYFUNCTION("""COMPUTED_VALUE"""),"Quest Item")</f>
        <v>Quest Item</v>
      </c>
      <c r="C543" s="2"/>
      <c r="D543" s="2" t="str">
        <f>IFERROR(__xludf.DUMMYFUNCTION("""COMPUTED_VALUE"""),"Head")</f>
        <v>Head</v>
      </c>
      <c r="E543" s="2">
        <f>IFERROR(__xludf.DUMMYFUNCTION("""COMPUTED_VALUE"""),200.0)</f>
        <v>200</v>
      </c>
      <c r="F543" s="2" t="str">
        <f>IFERROR(__xludf.DUMMYFUNCTION("""COMPUTED_VALUE"""),"DEF: +25000, Fire DEF: +10000, Water DEF: +5000, Nature DEF: +25000, Celestial DEF: +10000 ++X2 Firearm damage. ++Weakness Detection: When attacking an enemy with fire vulnerability roll twice and take the higher roll for all attacks against that enemy. +"&amp;"-Forged Paladin Class Only.")</f>
        <v>DEF: +25000, Fire DEF: +10000, Water DEF: +5000, Nature DEF: +25000, Celestial DEF: +10000 ++X2 Firearm damage. ++Weakness Detection: When attacking an enemy with fire vulnerability roll twice and take the higher roll for all attacks against that enemy. +-Forged Paladin Class Only.</v>
      </c>
      <c r="G543" s="2">
        <f>IFERROR(__xludf.DUMMYFUNCTION("""COMPUTED_VALUE"""),1.1175E8)</f>
        <v>111750000</v>
      </c>
      <c r="H543" s="2"/>
      <c r="I543" s="2"/>
      <c r="J543" s="2"/>
      <c r="K543" s="2"/>
      <c r="L543" s="2"/>
      <c r="M543" s="2"/>
      <c r="N543" s="2"/>
      <c r="O543" s="2"/>
      <c r="P543" s="2"/>
      <c r="Q543" s="2"/>
      <c r="R543" s="2"/>
      <c r="S543" s="2"/>
      <c r="T543" s="2"/>
      <c r="U543" s="2"/>
      <c r="V543" s="2"/>
      <c r="W543" s="2"/>
      <c r="X543" s="2"/>
      <c r="Y543" s="2"/>
      <c r="Z543" s="2"/>
    </row>
    <row r="544">
      <c r="A544" s="2" t="str">
        <f>IFERROR(__xludf.DUMMYFUNCTION("""COMPUTED_VALUE"""),"Forged Paladin's Pauldrons")</f>
        <v>Forged Paladin's Pauldrons</v>
      </c>
      <c r="B544" s="2" t="str">
        <f>IFERROR(__xludf.DUMMYFUNCTION("""COMPUTED_VALUE"""),"Quest Item")</f>
        <v>Quest Item</v>
      </c>
      <c r="C544" s="2"/>
      <c r="D544" s="2" t="str">
        <f>IFERROR(__xludf.DUMMYFUNCTION("""COMPUTED_VALUE"""),"Shoulders")</f>
        <v>Shoulders</v>
      </c>
      <c r="E544" s="2">
        <f>IFERROR(__xludf.DUMMYFUNCTION("""COMPUTED_VALUE"""),200.0)</f>
        <v>200</v>
      </c>
      <c r="F544" s="2" t="str">
        <f>IFERROR(__xludf.DUMMYFUNCTION("""COMPUTED_VALUE"""),"DEF: +25000, Fire DEF: +10000, Water DEF: +5000, Nature DEF: +25000, Celestial DEF: +10000 ++When hit with a non-natural attack inflict the attacker with Burn 1000 for 3 rounds +-Forged Paladin Class Only.")</f>
        <v>DEF: +25000, Fire DEF: +10000, Water DEF: +5000, Nature DEF: +25000, Celestial DEF: +10000 ++When hit with a non-natural attack inflict the attacker with Burn 1000 for 3 rounds +-Forged Paladin Class Only.</v>
      </c>
      <c r="G544" s="2">
        <f>IFERROR(__xludf.DUMMYFUNCTION("""COMPUTED_VALUE"""),1.1175E8)</f>
        <v>111750000</v>
      </c>
      <c r="H544" s="2"/>
      <c r="I544" s="2"/>
      <c r="J544" s="2"/>
      <c r="K544" s="2"/>
      <c r="L544" s="2"/>
      <c r="M544" s="2"/>
      <c r="N544" s="2"/>
      <c r="O544" s="2"/>
      <c r="P544" s="2"/>
      <c r="Q544" s="2"/>
      <c r="R544" s="2"/>
      <c r="S544" s="2"/>
      <c r="T544" s="2"/>
      <c r="U544" s="2"/>
      <c r="V544" s="2"/>
      <c r="W544" s="2"/>
      <c r="X544" s="2"/>
      <c r="Y544" s="2"/>
      <c r="Z544" s="2"/>
    </row>
    <row r="545">
      <c r="A545" s="2" t="str">
        <f>IFERROR(__xludf.DUMMYFUNCTION("""COMPUTED_VALUE"""),"Forged Paladin's Plate")</f>
        <v>Forged Paladin's Plate</v>
      </c>
      <c r="B545" s="2" t="str">
        <f>IFERROR(__xludf.DUMMYFUNCTION("""COMPUTED_VALUE"""),"Quest Item")</f>
        <v>Quest Item</v>
      </c>
      <c r="C545" s="2"/>
      <c r="D545" s="2" t="str">
        <f>IFERROR(__xludf.DUMMYFUNCTION("""COMPUTED_VALUE"""),"Torso")</f>
        <v>Torso</v>
      </c>
      <c r="E545" s="2">
        <f>IFERROR(__xludf.DUMMYFUNCTION("""COMPUTED_VALUE"""),200.0)</f>
        <v>200</v>
      </c>
      <c r="F545" s="2" t="str">
        <f>IFERROR(__xludf.DUMMYFUNCTION("""COMPUTED_VALUE"""),"DEF: +35000, Fire DEF: +15000, Water DEF: +5000, Nature DEF: +30000, Celestial DEF: +15000 ++X4 Fire damage. ++fire immunity +-Forged Paladin Class Only.")</f>
        <v>DEF: +35000, Fire DEF: +15000, Water DEF: +5000, Nature DEF: +30000, Celestial DEF: +15000 ++X4 Fire damage. ++fire immunity +-Forged Paladin Class Only.</v>
      </c>
      <c r="G545" s="2">
        <f>IFERROR(__xludf.DUMMYFUNCTION("""COMPUTED_VALUE"""),1.99E8)</f>
        <v>199000000</v>
      </c>
      <c r="H545" s="2"/>
      <c r="I545" s="2"/>
      <c r="J545" s="2"/>
      <c r="K545" s="2"/>
      <c r="L545" s="2"/>
      <c r="M545" s="2"/>
      <c r="N545" s="2"/>
      <c r="O545" s="2"/>
      <c r="P545" s="2"/>
      <c r="Q545" s="2"/>
      <c r="R545" s="2"/>
      <c r="S545" s="2"/>
      <c r="T545" s="2"/>
      <c r="U545" s="2"/>
      <c r="V545" s="2"/>
      <c r="W545" s="2"/>
      <c r="X545" s="2"/>
      <c r="Y545" s="2"/>
      <c r="Z545" s="2"/>
    </row>
    <row r="546">
      <c r="A546" s="2" t="str">
        <f>IFERROR(__xludf.DUMMYFUNCTION("""COMPUTED_VALUE"""),"Forged Paladin's Vambraces")</f>
        <v>Forged Paladin's Vambraces</v>
      </c>
      <c r="B546" s="2" t="str">
        <f>IFERROR(__xludf.DUMMYFUNCTION("""COMPUTED_VALUE"""),"Quest Item")</f>
        <v>Quest Item</v>
      </c>
      <c r="C546" s="2"/>
      <c r="D546" s="2" t="str">
        <f>IFERROR(__xludf.DUMMYFUNCTION("""COMPUTED_VALUE"""),"Arms")</f>
        <v>Arms</v>
      </c>
      <c r="E546" s="2">
        <f>IFERROR(__xludf.DUMMYFUNCTION("""COMPUTED_VALUE"""),200.0)</f>
        <v>200</v>
      </c>
      <c r="F546" s="2" t="str">
        <f>IFERROR(__xludf.DUMMYFUNCTION("""COMPUTED_VALUE"""),"DEF: +25000, Fire DEF: +10000, Water DEF: +5000, Nature DEF: +25000, Celestial DEF: +10000 ++When attacking with a firearm deal X4 damage. ++The target cannot resist or be immune to fire damage dealt by firearms. +-Forged Paladin Class Only.")</f>
        <v>DEF: +25000, Fire DEF: +10000, Water DEF: +5000, Nature DEF: +25000, Celestial DEF: +10000 ++When attacking with a firearm deal X4 damage. ++The target cannot resist or be immune to fire damage dealt by firearms. +-Forged Paladin Class Only.</v>
      </c>
      <c r="G546" s="2">
        <f>IFERROR(__xludf.DUMMYFUNCTION("""COMPUTED_VALUE"""),1.1175E8)</f>
        <v>111750000</v>
      </c>
      <c r="H546" s="2"/>
      <c r="I546" s="2"/>
      <c r="J546" s="2"/>
      <c r="K546" s="2"/>
      <c r="L546" s="2"/>
      <c r="M546" s="2"/>
      <c r="N546" s="2"/>
      <c r="O546" s="2"/>
      <c r="P546" s="2"/>
      <c r="Q546" s="2"/>
      <c r="R546" s="2"/>
      <c r="S546" s="2"/>
      <c r="T546" s="2"/>
      <c r="U546" s="2"/>
      <c r="V546" s="2"/>
      <c r="W546" s="2"/>
      <c r="X546" s="2"/>
      <c r="Y546" s="2"/>
      <c r="Z546" s="2"/>
    </row>
    <row r="547">
      <c r="A547" s="2" t="str">
        <f>IFERROR(__xludf.DUMMYFUNCTION("""COMPUTED_VALUE"""),"Forged Firearm")</f>
        <v>Forged Firearm</v>
      </c>
      <c r="B547" s="2" t="str">
        <f>IFERROR(__xludf.DUMMYFUNCTION("""COMPUTED_VALUE"""),"Quest Item")</f>
        <v>Quest Item</v>
      </c>
      <c r="C547" s="2" t="str">
        <f>IFERROR(__xludf.DUMMYFUNCTION("""COMPUTED_VALUE"""),"Firearm")</f>
        <v>Firearm</v>
      </c>
      <c r="D547" s="2" t="str">
        <f>IFERROR(__xludf.DUMMYFUNCTION("""COMPUTED_VALUE"""),"Hand")</f>
        <v>Hand</v>
      </c>
      <c r="E547" s="2">
        <f>IFERROR(__xludf.DUMMYFUNCTION("""COMPUTED_VALUE"""),200.0)</f>
        <v>200</v>
      </c>
      <c r="F547" s="2" t="str">
        <f>IFERROR(__xludf.DUMMYFUNCTION("""COMPUTED_VALUE"""),"DMG: +50000, Fire DMG: +25000, Celestial DMG: +25000 ++X2 Firearm Damage. ++When equipped with the rest of the Forged Paladin gear deal X6 damage with this weapon. +-Forged Paladin Class Only.")</f>
        <v>DMG: +50000, Fire DMG: +25000, Celestial DMG: +25000 ++X2 Firearm Damage. ++When equipped with the rest of the Forged Paladin gear deal X6 damage with this weapon. +-Forged Paladin Class Only.</v>
      </c>
      <c r="G547" s="2">
        <f>IFERROR(__xludf.DUMMYFUNCTION("""COMPUTED_VALUE"""),1.99E8)</f>
        <v>199000000</v>
      </c>
      <c r="H547" s="2"/>
      <c r="I547" s="2"/>
      <c r="J547" s="2"/>
      <c r="K547" s="2"/>
      <c r="L547" s="2"/>
      <c r="M547" s="2"/>
      <c r="N547" s="2"/>
      <c r="O547" s="2"/>
      <c r="P547" s="2"/>
      <c r="Q547" s="2"/>
      <c r="R547" s="2"/>
      <c r="S547" s="2"/>
      <c r="T547" s="2"/>
      <c r="U547" s="2"/>
      <c r="V547" s="2"/>
      <c r="W547" s="2"/>
      <c r="X547" s="2"/>
      <c r="Y547" s="2"/>
      <c r="Z547" s="2"/>
    </row>
    <row r="548">
      <c r="A548" s="2" t="str">
        <f>IFERROR(__xludf.DUMMYFUNCTION("""COMPUTED_VALUE"""),"Forged Towershield")</f>
        <v>Forged Towershield</v>
      </c>
      <c r="B548" s="2" t="str">
        <f>IFERROR(__xludf.DUMMYFUNCTION("""COMPUTED_VALUE"""),"Quest Item")</f>
        <v>Quest Item</v>
      </c>
      <c r="C548" s="2" t="str">
        <f>IFERROR(__xludf.DUMMYFUNCTION("""COMPUTED_VALUE"""),"Towershield")</f>
        <v>Towershield</v>
      </c>
      <c r="D548" s="2" t="str">
        <f>IFERROR(__xludf.DUMMYFUNCTION("""COMPUTED_VALUE"""),"Hand")</f>
        <v>Hand</v>
      </c>
      <c r="E548" s="2">
        <f>IFERROR(__xludf.DUMMYFUNCTION("""COMPUTED_VALUE"""),200.0)</f>
        <v>200</v>
      </c>
      <c r="F548" s="2" t="str">
        <f>IFERROR(__xludf.DUMMYFUNCTION("""COMPUTED_VALUE"""),"DEF: +50000, Fire DEF: +25000, Water DEF: +15000, Nature DEF: +50000, Celestial DEF: +25000 ++X2 defense. ++When equipped with the rest of the Forged Paladin gear gain X6 defense. +-Forged Paladin Class Only.")</f>
        <v>DEF: +50000, Fire DEF: +25000, Water DEF: +15000, Nature DEF: +50000, Celestial DEF: +25000 ++X2 defense. ++When equipped with the rest of the Forged Paladin gear gain X6 defense. +-Forged Paladin Class Only.</v>
      </c>
      <c r="G548" s="2">
        <f>IFERROR(__xludf.DUMMYFUNCTION("""COMPUTED_VALUE"""),5.4285E8)</f>
        <v>542850000</v>
      </c>
      <c r="H548" s="2"/>
      <c r="I548" s="2"/>
      <c r="J548" s="2"/>
      <c r="K548" s="2"/>
      <c r="L548" s="2"/>
      <c r="M548" s="2"/>
      <c r="N548" s="2"/>
      <c r="O548" s="2"/>
      <c r="P548" s="2"/>
      <c r="Q548" s="2"/>
      <c r="R548" s="2"/>
      <c r="S548" s="2"/>
      <c r="T548" s="2"/>
      <c r="U548" s="2"/>
      <c r="V548" s="2"/>
      <c r="W548" s="2"/>
      <c r="X548" s="2"/>
      <c r="Y548" s="2"/>
      <c r="Z548" s="2"/>
    </row>
    <row r="549">
      <c r="A549" s="2" t="str">
        <f>IFERROR(__xludf.DUMMYFUNCTION("""COMPUTED_VALUE"""),"Forged Leg guard")</f>
        <v>Forged Leg guard</v>
      </c>
      <c r="B549" s="2" t="str">
        <f>IFERROR(__xludf.DUMMYFUNCTION("""COMPUTED_VALUE"""),"Quest Item")</f>
        <v>Quest Item</v>
      </c>
      <c r="C549" s="2"/>
      <c r="D549" s="2" t="str">
        <f>IFERROR(__xludf.DUMMYFUNCTION("""COMPUTED_VALUE"""),"Legs")</f>
        <v>Legs</v>
      </c>
      <c r="E549" s="2">
        <f>IFERROR(__xludf.DUMMYFUNCTION("""COMPUTED_VALUE"""),200.0)</f>
        <v>200</v>
      </c>
      <c r="F549" s="2" t="str">
        <f>IFERROR(__xludf.DUMMYFUNCTION("""COMPUTED_VALUE"""),"DEF: +25000, Fire DEF: +10000, Water DEF: +5000, Nature DEF: +25000, Celestial DEF: +10000 ++When affected by Burn, Heal by the damage instead. +-Forged Paladin Class Only.")</f>
        <v>DEF: +25000, Fire DEF: +10000, Water DEF: +5000, Nature DEF: +25000, Celestial DEF: +10000 ++When affected by Burn, Heal by the damage instead. +-Forged Paladin Class Only.</v>
      </c>
      <c r="G549" s="2">
        <f>IFERROR(__xludf.DUMMYFUNCTION("""COMPUTED_VALUE"""),1.1175E8)</f>
        <v>111750000</v>
      </c>
      <c r="H549" s="2"/>
      <c r="I549" s="2"/>
      <c r="J549" s="2"/>
      <c r="K549" s="2"/>
      <c r="L549" s="2"/>
      <c r="M549" s="2"/>
      <c r="N549" s="2"/>
      <c r="O549" s="2"/>
      <c r="P549" s="2"/>
      <c r="Q549" s="2"/>
      <c r="R549" s="2"/>
      <c r="S549" s="2"/>
      <c r="T549" s="2"/>
      <c r="U549" s="2"/>
      <c r="V549" s="2"/>
      <c r="W549" s="2"/>
      <c r="X549" s="2"/>
      <c r="Y549" s="2"/>
      <c r="Z549" s="2"/>
    </row>
    <row r="550">
      <c r="A550" s="2" t="str">
        <f>IFERROR(__xludf.DUMMYFUNCTION("""COMPUTED_VALUE"""),"Forged Sabatons")</f>
        <v>Forged Sabatons</v>
      </c>
      <c r="B550" s="2" t="str">
        <f>IFERROR(__xludf.DUMMYFUNCTION("""COMPUTED_VALUE"""),"Quest Item")</f>
        <v>Quest Item</v>
      </c>
      <c r="C550" s="2"/>
      <c r="D550" s="2" t="str">
        <f>IFERROR(__xludf.DUMMYFUNCTION("""COMPUTED_VALUE"""),"Feet")</f>
        <v>Feet</v>
      </c>
      <c r="E550" s="2">
        <f>IFERROR(__xludf.DUMMYFUNCTION("""COMPUTED_VALUE"""),200.0)</f>
        <v>200</v>
      </c>
      <c r="F550" s="2" t="str">
        <f>IFERROR(__xludf.DUMMYFUNCTION("""COMPUTED_VALUE"""),"DEF: +25000, Fire DEF: +10000, Water DEF: +5000, Nature DEF: +25000, Celestial DEF: +10000 ++When attacking with a fire spell add ++5 to roll. +-Forged Paladin Class Only.")</f>
        <v>DEF: +25000, Fire DEF: +10000, Water DEF: +5000, Nature DEF: +25000, Celestial DEF: +10000 ++When attacking with a fire spell add ++5 to roll. +-Forged Paladin Class Only.</v>
      </c>
      <c r="G550" s="2">
        <f>IFERROR(__xludf.DUMMYFUNCTION("""COMPUTED_VALUE"""),1.1175E8)</f>
        <v>111750000</v>
      </c>
      <c r="H550" s="2"/>
      <c r="I550" s="2"/>
      <c r="J550" s="2"/>
      <c r="K550" s="2"/>
      <c r="L550" s="2"/>
      <c r="M550" s="2"/>
      <c r="N550" s="2"/>
      <c r="O550" s="2"/>
      <c r="P550" s="2"/>
      <c r="Q550" s="2"/>
      <c r="R550" s="2"/>
      <c r="S550" s="2"/>
      <c r="T550" s="2"/>
      <c r="U550" s="2"/>
      <c r="V550" s="2"/>
      <c r="W550" s="2"/>
      <c r="X550" s="2"/>
      <c r="Y550" s="2"/>
      <c r="Z550" s="2"/>
    </row>
    <row r="551">
      <c r="A551" s="2" t="str">
        <f>IFERROR(__xludf.DUMMYFUNCTION("""COMPUTED_VALUE"""),"Scrap Ring")</f>
        <v>Scrap Ring</v>
      </c>
      <c r="B551" s="2" t="str">
        <f>IFERROR(__xludf.DUMMYFUNCTION("""COMPUTED_VALUE"""),"Quest Item")</f>
        <v>Quest Item</v>
      </c>
      <c r="C551" s="2"/>
      <c r="D551" s="2" t="str">
        <f>IFERROR(__xludf.DUMMYFUNCTION("""COMPUTED_VALUE"""),"Ring")</f>
        <v>Ring</v>
      </c>
      <c r="E551" s="2">
        <f>IFERROR(__xludf.DUMMYFUNCTION("""COMPUTED_VALUE"""),1.0)</f>
        <v>1</v>
      </c>
      <c r="F551" s="2" t="str">
        <f>IFERROR(__xludf.DUMMYFUNCTION("""COMPUTED_VALUE""")," ++When you attack an enemy with a firearm, inflict Marked 3. +-Forged Paladin Class Only.")</f>
        <v> ++When you attack an enemy with a firearm, inflict Marked 3. +-Forged Paladin Class Only.</v>
      </c>
      <c r="G551" s="2">
        <f>IFERROR(__xludf.DUMMYFUNCTION("""COMPUTED_VALUE"""),0.0)</f>
        <v>0</v>
      </c>
      <c r="H551" s="2"/>
      <c r="I551" s="2"/>
      <c r="J551" s="2"/>
      <c r="K551" s="2"/>
      <c r="L551" s="2"/>
      <c r="M551" s="2"/>
      <c r="N551" s="2"/>
      <c r="O551" s="2"/>
      <c r="P551" s="2"/>
      <c r="Q551" s="2"/>
      <c r="R551" s="2"/>
      <c r="S551" s="2"/>
      <c r="T551" s="2"/>
      <c r="U551" s="2"/>
      <c r="V551" s="2"/>
      <c r="W551" s="2"/>
      <c r="X551" s="2"/>
      <c r="Y551" s="2"/>
      <c r="Z551" s="2"/>
    </row>
    <row r="552">
      <c r="A552" s="2" t="str">
        <f>IFERROR(__xludf.DUMMYFUNCTION("""COMPUTED_VALUE"""),"Scrap Gorget")</f>
        <v>Scrap Gorget</v>
      </c>
      <c r="B552" s="2" t="str">
        <f>IFERROR(__xludf.DUMMYFUNCTION("""COMPUTED_VALUE"""),"Quest Item")</f>
        <v>Quest Item</v>
      </c>
      <c r="C552" s="2"/>
      <c r="D552" s="2" t="str">
        <f>IFERROR(__xludf.DUMMYFUNCTION("""COMPUTED_VALUE"""),"Neck")</f>
        <v>Neck</v>
      </c>
      <c r="E552" s="2">
        <f>IFERROR(__xludf.DUMMYFUNCTION("""COMPUTED_VALUE"""),1.0)</f>
        <v>1</v>
      </c>
      <c r="F552" s="2" t="str">
        <f>IFERROR(__xludf.DUMMYFUNCTION("""COMPUTED_VALUE""")," ++When being attacked with any form of firearm deal half damage back to the enemy that attacked you. +-Forged Paladin Class Only.")</f>
        <v> ++When being attacked with any form of firearm deal half damage back to the enemy that attacked you. +-Forged Paladin Class Only.</v>
      </c>
      <c r="G552" s="2">
        <f>IFERROR(__xludf.DUMMYFUNCTION("""COMPUTED_VALUE"""),0.0)</f>
        <v>0</v>
      </c>
      <c r="H552" s="2"/>
      <c r="I552" s="2"/>
      <c r="J552" s="2"/>
      <c r="K552" s="2"/>
      <c r="L552" s="2"/>
      <c r="M552" s="2"/>
      <c r="N552" s="2"/>
      <c r="O552" s="2"/>
      <c r="P552" s="2"/>
      <c r="Q552" s="2"/>
      <c r="R552" s="2"/>
      <c r="S552" s="2"/>
      <c r="T552" s="2"/>
      <c r="U552" s="2"/>
      <c r="V552" s="2"/>
      <c r="W552" s="2"/>
      <c r="X552" s="2"/>
      <c r="Y552" s="2"/>
      <c r="Z552" s="2"/>
    </row>
    <row r="553">
      <c r="A553" s="2" t="str">
        <f>IFERROR(__xludf.DUMMYFUNCTION("""COMPUTED_VALUE"""),"Minstrel's Cap")</f>
        <v>Minstrel's Cap</v>
      </c>
      <c r="B553" s="2" t="str">
        <f>IFERROR(__xludf.DUMMYFUNCTION("""COMPUTED_VALUE"""),"Quest Item")</f>
        <v>Quest Item</v>
      </c>
      <c r="C553" s="2"/>
      <c r="D553" s="2" t="str">
        <f>IFERROR(__xludf.DUMMYFUNCTION("""COMPUTED_VALUE"""),"Head")</f>
        <v>Head</v>
      </c>
      <c r="E553" s="2">
        <f>IFERROR(__xludf.DUMMYFUNCTION("""COMPUTED_VALUE"""),400.0)</f>
        <v>400</v>
      </c>
      <c r="F553" s="2" t="str">
        <f>IFERROR(__xludf.DUMMYFUNCTION("""COMPUTED_VALUE"""),"DEF: +20000 ++20,000 ACC and ATK. ++Upon reaching 5 stacks of Disoriented inflict Marked 3 on all enemies. +-Paladin of The Party and Bard Class only.")</f>
        <v>DEF: +20000 ++20,000 ACC and ATK. ++Upon reaching 5 stacks of Disoriented inflict Marked 3 on all enemies. +-Paladin of The Party and Bard Class only.</v>
      </c>
      <c r="G553" s="2">
        <f>IFERROR(__xludf.DUMMYFUNCTION("""COMPUTED_VALUE"""),7800000.0)</f>
        <v>7800000</v>
      </c>
      <c r="H553" s="2"/>
      <c r="I553" s="2"/>
      <c r="J553" s="2"/>
      <c r="K553" s="2"/>
      <c r="L553" s="2"/>
      <c r="M553" s="2"/>
      <c r="N553" s="2"/>
      <c r="O553" s="2"/>
      <c r="P553" s="2"/>
      <c r="Q553" s="2"/>
      <c r="R553" s="2"/>
      <c r="S553" s="2"/>
      <c r="T553" s="2"/>
      <c r="U553" s="2"/>
      <c r="V553" s="2"/>
      <c r="W553" s="2"/>
      <c r="X553" s="2"/>
      <c r="Y553" s="2"/>
      <c r="Z553" s="2"/>
    </row>
    <row r="554">
      <c r="A554" s="2" t="str">
        <f>IFERROR(__xludf.DUMMYFUNCTION("""COMPUTED_VALUE"""),"Minstrel's Cape")</f>
        <v>Minstrel's Cape</v>
      </c>
      <c r="B554" s="2" t="str">
        <f>IFERROR(__xludf.DUMMYFUNCTION("""COMPUTED_VALUE"""),"Quest Item")</f>
        <v>Quest Item</v>
      </c>
      <c r="C554" s="2"/>
      <c r="D554" s="2" t="str">
        <f>IFERROR(__xludf.DUMMYFUNCTION("""COMPUTED_VALUE"""),"Shoulders")</f>
        <v>Shoulders</v>
      </c>
      <c r="E554" s="2">
        <f>IFERROR(__xludf.DUMMYFUNCTION("""COMPUTED_VALUE"""),400.0)</f>
        <v>400</v>
      </c>
      <c r="F554" s="2" t="str">
        <f>IFERROR(__xludf.DUMMYFUNCTION("""COMPUTED_VALUE"""),"DEF: +20000 ++ 20,000 ACC and ATK. ++When casting any form of buffing spell, double the effects for the rest of the round. +-Paladin of The Party and Bard Class only.")</f>
        <v>DEF: +20000 ++ 20,000 ACC and ATK. ++When casting any form of buffing spell, double the effects for the rest of the round. +-Paladin of The Party and Bard Class only.</v>
      </c>
      <c r="G554" s="2">
        <f>IFERROR(__xludf.DUMMYFUNCTION("""COMPUTED_VALUE"""),7800000.0)</f>
        <v>7800000</v>
      </c>
      <c r="H554" s="2"/>
      <c r="I554" s="2"/>
      <c r="J554" s="2"/>
      <c r="K554" s="2"/>
      <c r="L554" s="2"/>
      <c r="M554" s="2"/>
      <c r="N554" s="2"/>
      <c r="O554" s="2"/>
      <c r="P554" s="2"/>
      <c r="Q554" s="2"/>
      <c r="R554" s="2"/>
      <c r="S554" s="2"/>
      <c r="T554" s="2"/>
      <c r="U554" s="2"/>
      <c r="V554" s="2"/>
      <c r="W554" s="2"/>
      <c r="X554" s="2"/>
      <c r="Y554" s="2"/>
      <c r="Z554" s="2"/>
    </row>
    <row r="555">
      <c r="A555" s="2" t="str">
        <f>IFERROR(__xludf.DUMMYFUNCTION("""COMPUTED_VALUE"""),"Minstrel's Doublet")</f>
        <v>Minstrel's Doublet</v>
      </c>
      <c r="B555" s="2" t="str">
        <f>IFERROR(__xludf.DUMMYFUNCTION("""COMPUTED_VALUE"""),"Quest Item")</f>
        <v>Quest Item</v>
      </c>
      <c r="C555" s="2"/>
      <c r="D555" s="2" t="str">
        <f>IFERROR(__xludf.DUMMYFUNCTION("""COMPUTED_VALUE"""),"Torso")</f>
        <v>Torso</v>
      </c>
      <c r="E555" s="2">
        <f>IFERROR(__xludf.DUMMYFUNCTION("""COMPUTED_VALUE"""),800.0)</f>
        <v>800</v>
      </c>
      <c r="F555" s="2" t="str">
        <f>IFERROR(__xludf.DUMMYFUNCTION("""COMPUTED_VALUE"""),"DEF: +40000 ++20,000 ACC and ATK. ++Upon surpassing 3 stacks of Disoriented you gain Invigorated until you drop below 3 stacks of Disoriented. +-Paladin of The Party and Bard Class only.")</f>
        <v>DEF: +40000 ++20,000 ACC and ATK. ++Upon surpassing 3 stacks of Disoriented you gain Invigorated until you drop below 3 stacks of Disoriented. +-Paladin of The Party and Bard Class only.</v>
      </c>
      <c r="G555" s="2">
        <f>IFERROR(__xludf.DUMMYFUNCTION("""COMPUTED_VALUE"""),3.16E7)</f>
        <v>31600000</v>
      </c>
      <c r="H555" s="2"/>
      <c r="I555" s="2"/>
      <c r="J555" s="2"/>
      <c r="K555" s="2"/>
      <c r="L555" s="2"/>
      <c r="M555" s="2"/>
      <c r="N555" s="2"/>
      <c r="O555" s="2"/>
      <c r="P555" s="2"/>
      <c r="Q555" s="2"/>
      <c r="R555" s="2"/>
      <c r="S555" s="2"/>
      <c r="T555" s="2"/>
      <c r="U555" s="2"/>
      <c r="V555" s="2"/>
      <c r="W555" s="2"/>
      <c r="X555" s="2"/>
      <c r="Y555" s="2"/>
      <c r="Z555" s="2"/>
    </row>
    <row r="556">
      <c r="A556" s="2" t="str">
        <f>IFERROR(__xludf.DUMMYFUNCTION("""COMPUTED_VALUE"""),"Minstrel's Cuffs")</f>
        <v>Minstrel's Cuffs</v>
      </c>
      <c r="B556" s="2" t="str">
        <f>IFERROR(__xludf.DUMMYFUNCTION("""COMPUTED_VALUE"""),"Quest Item")</f>
        <v>Quest Item</v>
      </c>
      <c r="C556" s="2"/>
      <c r="D556" s="2" t="str">
        <f>IFERROR(__xludf.DUMMYFUNCTION("""COMPUTED_VALUE"""),"Arms")</f>
        <v>Arms</v>
      </c>
      <c r="E556" s="2">
        <f>IFERROR(__xludf.DUMMYFUNCTION("""COMPUTED_VALUE"""),400.0)</f>
        <v>400</v>
      </c>
      <c r="F556" s="2" t="str">
        <f>IFERROR(__xludf.DUMMYFUNCTION("""COMPUTED_VALUE"""),"DEF: +20000 ++20,000 ACC and ATK. ++When using the entire Minstrel set you Double the DEF, ACC, and ATK of all allies. +-Paladin of The Party and Bard Class only.")</f>
        <v>DEF: +20000 ++20,000 ACC and ATK. ++When using the entire Minstrel set you Double the DEF, ACC, and ATK of all allies. +-Paladin of The Party and Bard Class only.</v>
      </c>
      <c r="G556" s="2">
        <f>IFERROR(__xludf.DUMMYFUNCTION("""COMPUTED_VALUE"""),7800000.0)</f>
        <v>7800000</v>
      </c>
      <c r="H556" s="2"/>
      <c r="I556" s="2"/>
      <c r="J556" s="2"/>
      <c r="K556" s="2"/>
      <c r="L556" s="2"/>
      <c r="M556" s="2"/>
      <c r="N556" s="2"/>
      <c r="O556" s="2"/>
      <c r="P556" s="2"/>
      <c r="Q556" s="2"/>
      <c r="R556" s="2"/>
      <c r="S556" s="2"/>
      <c r="T556" s="2"/>
      <c r="U556" s="2"/>
      <c r="V556" s="2"/>
      <c r="W556" s="2"/>
      <c r="X556" s="2"/>
      <c r="Y556" s="2"/>
      <c r="Z556" s="2"/>
    </row>
    <row r="557">
      <c r="A557" s="2" t="str">
        <f>IFERROR(__xludf.DUMMYFUNCTION("""COMPUTED_VALUE"""),"Heavenly Lute")</f>
        <v>Heavenly Lute</v>
      </c>
      <c r="B557" s="2" t="str">
        <f>IFERROR(__xludf.DUMMYFUNCTION("""COMPUTED_VALUE"""),"Quest Item")</f>
        <v>Quest Item</v>
      </c>
      <c r="C557" s="2" t="str">
        <f>IFERROR(__xludf.DUMMYFUNCTION("""COMPUTED_VALUE"""),"Instrument")</f>
        <v>Instrument</v>
      </c>
      <c r="D557" s="2" t="str">
        <f>IFERROR(__xludf.DUMMYFUNCTION("""COMPUTED_VALUE"""),"Hand")</f>
        <v>Hand</v>
      </c>
      <c r="E557" s="2">
        <f>IFERROR(__xludf.DUMMYFUNCTION("""COMPUTED_VALUE"""),900.0)</f>
        <v>900</v>
      </c>
      <c r="F557" s="2" t="str">
        <f>IFERROR(__xludf.DUMMYFUNCTION("""COMPUTED_VALUE"""),"DMG: +20000, Acoustic DMG: +25000 ++When attacking an enemy with this weapon gain 1 stack of Disoriented. ++May The Show Go On!: Expend all stacks of Disoriented dealing X*15000 Acoustic Damage for every stack of Disoriented expended,100 sp. +-Paladin of "&amp;"The Party and Bard Class only.")</f>
        <v>DMG: +20000, Acoustic DMG: +25000 ++When attacking an enemy with this weapon gain 1 stack of Disoriented. ++May The Show Go On!: Expend all stacks of Disoriented dealing X*15000 Acoustic Damage for every stack of Disoriented expended,100 sp. +-Paladin of The Party and Bard Class only.</v>
      </c>
      <c r="G557" s="2">
        <f>IFERROR(__xludf.DUMMYFUNCTION("""COMPUTED_VALUE"""),4.005E7)</f>
        <v>40050000</v>
      </c>
      <c r="H557" s="2"/>
      <c r="I557" s="2"/>
      <c r="J557" s="2"/>
      <c r="K557" s="2"/>
      <c r="L557" s="2"/>
      <c r="M557" s="2"/>
      <c r="N557" s="2"/>
      <c r="O557" s="2"/>
      <c r="P557" s="2"/>
      <c r="Q557" s="2"/>
      <c r="R557" s="2"/>
      <c r="S557" s="2"/>
      <c r="T557" s="2"/>
      <c r="U557" s="2"/>
      <c r="V557" s="2"/>
      <c r="W557" s="2"/>
      <c r="X557" s="2"/>
      <c r="Y557" s="2"/>
      <c r="Z557" s="2"/>
    </row>
    <row r="558">
      <c r="A558" s="2" t="str">
        <f>IFERROR(__xludf.DUMMYFUNCTION("""COMPUTED_VALUE"""),"Wine Stained Buckler With Portable Alcoholism")</f>
        <v>Wine Stained Buckler With Portable Alcoholism</v>
      </c>
      <c r="B558" s="2" t="str">
        <f>IFERROR(__xludf.DUMMYFUNCTION("""COMPUTED_VALUE"""),"Quest Item")</f>
        <v>Quest Item</v>
      </c>
      <c r="C558" s="2" t="str">
        <f>IFERROR(__xludf.DUMMYFUNCTION("""COMPUTED_VALUE"""),"Buckler")</f>
        <v>Buckler</v>
      </c>
      <c r="D558" s="2" t="str">
        <f>IFERROR(__xludf.DUMMYFUNCTION("""COMPUTED_VALUE"""),"Hand")</f>
        <v>Hand</v>
      </c>
      <c r="E558" s="2">
        <f>IFERROR(__xludf.DUMMYFUNCTION("""COMPUTED_VALUE"""),1500.0)</f>
        <v>1500</v>
      </c>
      <c r="F558" s="2" t="str">
        <f>IFERROR(__xludf.DUMMYFUNCTION("""COMPUTED_VALUE"""),"DEF: +50000, Acoustic DEF: +25000 ++Free Wine for All!: When hitting an enemy with this Buckler inflict 3 stacks of Disoriented on that enemy. +-That all you got?: When hit by any attack take 2 stacks of Disoriented. +-Paladin of The Party and Bard Class "&amp;"only.")</f>
        <v>DEF: +50000, Acoustic DEF: +25000 ++Free Wine for All!: When hitting an enemy with this Buckler inflict 3 stacks of Disoriented on that enemy. +-That all you got?: When hit by any attack take 2 stacks of Disoriented. +-Paladin of The Party and Bard Class only.</v>
      </c>
      <c r="G558" s="2">
        <f>IFERROR(__xludf.DUMMYFUNCTION("""COMPUTED_VALUE"""),1.1175E8)</f>
        <v>111750000</v>
      </c>
      <c r="H558" s="2"/>
      <c r="I558" s="2"/>
      <c r="J558" s="2"/>
      <c r="K558" s="2"/>
      <c r="L558" s="2"/>
      <c r="M558" s="2"/>
      <c r="N558" s="2"/>
      <c r="O558" s="2"/>
      <c r="P558" s="2"/>
      <c r="Q558" s="2"/>
      <c r="R558" s="2"/>
      <c r="S558" s="2"/>
      <c r="T558" s="2"/>
      <c r="U558" s="2"/>
      <c r="V558" s="2"/>
      <c r="W558" s="2"/>
      <c r="X558" s="2"/>
      <c r="Y558" s="2"/>
      <c r="Z558" s="2"/>
    </row>
    <row r="559">
      <c r="A559" s="2" t="str">
        <f>IFERROR(__xludf.DUMMYFUNCTION("""COMPUTED_VALUE"""),"Minstrel's Tights")</f>
        <v>Minstrel's Tights</v>
      </c>
      <c r="B559" s="2" t="str">
        <f>IFERROR(__xludf.DUMMYFUNCTION("""COMPUTED_VALUE"""),"Quest Item")</f>
        <v>Quest Item</v>
      </c>
      <c r="C559" s="2"/>
      <c r="D559" s="2" t="str">
        <f>IFERROR(__xludf.DUMMYFUNCTION("""COMPUTED_VALUE"""),"Legs")</f>
        <v>Legs</v>
      </c>
      <c r="E559" s="2">
        <f>IFERROR(__xludf.DUMMYFUNCTION("""COMPUTED_VALUE"""),400.0)</f>
        <v>400</v>
      </c>
      <c r="F559" s="2" t="str">
        <f>IFERROR(__xludf.DUMMYFUNCTION("""COMPUTED_VALUE"""),"DEF: +20000 ++20,000 ACC and ATK. ++X2 Acoustic Damage +-Paladin of The Party and Bard Class only.")</f>
        <v>DEF: +20000 ++20,000 ACC and ATK. ++X2 Acoustic Damage +-Paladin of The Party and Bard Class only.</v>
      </c>
      <c r="G559" s="2">
        <f>IFERROR(__xludf.DUMMYFUNCTION("""COMPUTED_VALUE"""),7800000.0)</f>
        <v>7800000</v>
      </c>
      <c r="H559" s="2"/>
      <c r="I559" s="2"/>
      <c r="J559" s="2"/>
      <c r="K559" s="2"/>
      <c r="L559" s="2"/>
      <c r="M559" s="2"/>
      <c r="N559" s="2"/>
      <c r="O559" s="2"/>
      <c r="P559" s="2"/>
      <c r="Q559" s="2"/>
      <c r="R559" s="2"/>
      <c r="S559" s="2"/>
      <c r="T559" s="2"/>
      <c r="U559" s="2"/>
      <c r="V559" s="2"/>
      <c r="W559" s="2"/>
      <c r="X559" s="2"/>
      <c r="Y559" s="2"/>
      <c r="Z559" s="2"/>
    </row>
    <row r="560">
      <c r="A560" s="2" t="str">
        <f>IFERROR(__xludf.DUMMYFUNCTION("""COMPUTED_VALUE"""),"Minstrel's Boots")</f>
        <v>Minstrel's Boots</v>
      </c>
      <c r="B560" s="2" t="str">
        <f>IFERROR(__xludf.DUMMYFUNCTION("""COMPUTED_VALUE"""),"Quest Item")</f>
        <v>Quest Item</v>
      </c>
      <c r="C560" s="2"/>
      <c r="D560" s="2" t="str">
        <f>IFERROR(__xludf.DUMMYFUNCTION("""COMPUTED_VALUE"""),"Feet")</f>
        <v>Feet</v>
      </c>
      <c r="E560" s="2">
        <f>IFERROR(__xludf.DUMMYFUNCTION("""COMPUTED_VALUE"""),400.0)</f>
        <v>400</v>
      </c>
      <c r="F560" s="2" t="str">
        <f>IFERROR(__xludf.DUMMYFUNCTION("""COMPUTED_VALUE"""),"DEF: +20000 ++20,000 ACC and ATK. ++Never Ending Dance of The Divine: Upon reaching 5 stacks of Disoriented inflict Haste 3 to all allies +-Paladin of The Party and Bard Class only.")</f>
        <v>DEF: +20000 ++20,000 ACC and ATK. ++Never Ending Dance of The Divine: Upon reaching 5 stacks of Disoriented inflict Haste 3 to all allies +-Paladin of The Party and Bard Class only.</v>
      </c>
      <c r="G560" s="2">
        <f>IFERROR(__xludf.DUMMYFUNCTION("""COMPUTED_VALUE"""),7800000.0)</f>
        <v>7800000</v>
      </c>
      <c r="H560" s="2"/>
      <c r="I560" s="2"/>
      <c r="J560" s="2"/>
      <c r="K560" s="2"/>
      <c r="L560" s="2"/>
      <c r="M560" s="2"/>
      <c r="N560" s="2"/>
      <c r="O560" s="2"/>
      <c r="P560" s="2"/>
      <c r="Q560" s="2"/>
      <c r="R560" s="2"/>
      <c r="S560" s="2"/>
      <c r="T560" s="2"/>
      <c r="U560" s="2"/>
      <c r="V560" s="2"/>
      <c r="W560" s="2"/>
      <c r="X560" s="2"/>
      <c r="Y560" s="2"/>
      <c r="Z560" s="2"/>
    </row>
    <row r="561">
      <c r="A561" s="2" t="str">
        <f>IFERROR(__xludf.DUMMYFUNCTION("""COMPUTED_VALUE"""),"Brass Ring of Blackout Drunkenness")</f>
        <v>Brass Ring of Blackout Drunkenness</v>
      </c>
      <c r="B561" s="2" t="str">
        <f>IFERROR(__xludf.DUMMYFUNCTION("""COMPUTED_VALUE"""),"Quest Item")</f>
        <v>Quest Item</v>
      </c>
      <c r="C561" s="2"/>
      <c r="D561" s="2" t="str">
        <f>IFERROR(__xludf.DUMMYFUNCTION("""COMPUTED_VALUE"""),"Ring")</f>
        <v>Ring</v>
      </c>
      <c r="E561" s="2">
        <f>IFERROR(__xludf.DUMMYFUNCTION("""COMPUTED_VALUE"""),1.0)</f>
        <v>1</v>
      </c>
      <c r="F561" s="2" t="str">
        <f>IFERROR(__xludf.DUMMYFUNCTION("""COMPUTED_VALUE""")," ++Upon Reaching 10 stacks of Disoriented remove a random enemy from battle whilst also being removed from battle yourself. +-Paladin of The Party and Bard Class only.")</f>
        <v> ++Upon Reaching 10 stacks of Disoriented remove a random enemy from battle whilst also being removed from battle yourself. +-Paladin of The Party and Bard Class only.</v>
      </c>
      <c r="G561" s="2">
        <f>IFERROR(__xludf.DUMMYFUNCTION("""COMPUTED_VALUE"""),0.0)</f>
        <v>0</v>
      </c>
      <c r="H561" s="2"/>
      <c r="I561" s="2"/>
      <c r="J561" s="2"/>
      <c r="K561" s="2"/>
      <c r="L561" s="2"/>
      <c r="M561" s="2"/>
      <c r="N561" s="2"/>
      <c r="O561" s="2"/>
      <c r="P561" s="2"/>
      <c r="Q561" s="2"/>
      <c r="R561" s="2"/>
      <c r="S561" s="2"/>
      <c r="T561" s="2"/>
      <c r="U561" s="2"/>
      <c r="V561" s="2"/>
      <c r="W561" s="2"/>
      <c r="X561" s="2"/>
      <c r="Y561" s="2"/>
      <c r="Z561" s="2"/>
    </row>
    <row r="562">
      <c r="A562" s="2" t="str">
        <f>IFERROR(__xludf.DUMMYFUNCTION("""COMPUTED_VALUE"""),"Wreath of The Party's Fervor")</f>
        <v>Wreath of The Party's Fervor</v>
      </c>
      <c r="B562" s="2" t="str">
        <f>IFERROR(__xludf.DUMMYFUNCTION("""COMPUTED_VALUE"""),"Quest Item")</f>
        <v>Quest Item</v>
      </c>
      <c r="C562" s="2"/>
      <c r="D562" s="2" t="str">
        <f>IFERROR(__xludf.DUMMYFUNCTION("""COMPUTED_VALUE"""),"Neck")</f>
        <v>Neck</v>
      </c>
      <c r="E562" s="2">
        <f>IFERROR(__xludf.DUMMYFUNCTION("""COMPUTED_VALUE"""),1.0)</f>
        <v>1</v>
      </c>
      <c r="F562" s="2" t="str">
        <f>IFERROR(__xludf.DUMMYFUNCTION("""COMPUTED_VALUE""")," ++When dealing Acoustic damage to any enemy there is a 5% chance for that enemy to be pacified for 3 rounds +-Paladin of The Party and Bard Class only.")</f>
        <v> ++When dealing Acoustic damage to any enemy there is a 5% chance for that enemy to be pacified for 3 rounds +-Paladin of The Party and Bard Class only.</v>
      </c>
      <c r="G562" s="2">
        <f>IFERROR(__xludf.DUMMYFUNCTION("""COMPUTED_VALUE"""),0.0)</f>
        <v>0</v>
      </c>
      <c r="H562" s="2"/>
      <c r="I562" s="2"/>
      <c r="J562" s="2"/>
      <c r="K562" s="2"/>
      <c r="L562" s="2"/>
      <c r="M562" s="2"/>
      <c r="N562" s="2"/>
      <c r="O562" s="2"/>
      <c r="P562" s="2"/>
      <c r="Q562" s="2"/>
      <c r="R562" s="2"/>
      <c r="S562" s="2"/>
      <c r="T562" s="2"/>
      <c r="U562" s="2"/>
      <c r="V562" s="2"/>
      <c r="W562" s="2"/>
      <c r="X562" s="2"/>
      <c r="Y562" s="2"/>
      <c r="Z562" s="2"/>
    </row>
    <row r="563">
      <c r="A563" s="2" t="str">
        <f>IFERROR(__xludf.DUMMYFUNCTION("""COMPUTED_VALUE"""),"Pauldrons of Tritonoch")</f>
        <v>Pauldrons of Tritonoch</v>
      </c>
      <c r="B563" s="2"/>
      <c r="C563" s="2"/>
      <c r="D563" s="2" t="str">
        <f>IFERROR(__xludf.DUMMYFUNCTION("""COMPUTED_VALUE"""),"Shoulders")</f>
        <v>Shoulders</v>
      </c>
      <c r="E563" s="2">
        <f>IFERROR(__xludf.DUMMYFUNCTION("""COMPUTED_VALUE"""),800.0)</f>
        <v>800</v>
      </c>
      <c r="F563" s="2" t="str">
        <f>IFERROR(__xludf.DUMMYFUNCTION("""COMPUTED_VALUE"""),"DEF: +20000, Water DEF: +20000 ++Waves of Entitlement - x5 additional Water damage")</f>
        <v>DEF: +20000, Water DEF: +20000 ++Waves of Entitlement - x5 additional Water damage</v>
      </c>
      <c r="G563" s="2">
        <f>IFERROR(__xludf.DUMMYFUNCTION("""COMPUTED_VALUE"""),3.16E7)</f>
        <v>31600000</v>
      </c>
      <c r="H563" s="2"/>
      <c r="I563" s="2"/>
      <c r="J563" s="2"/>
      <c r="K563" s="2"/>
      <c r="L563" s="2"/>
      <c r="M563" s="2"/>
      <c r="N563" s="2"/>
      <c r="O563" s="2"/>
      <c r="P563" s="2"/>
      <c r="Q563" s="2"/>
      <c r="R563" s="2"/>
      <c r="S563" s="2"/>
      <c r="T563" s="2"/>
      <c r="U563" s="2"/>
      <c r="V563" s="2"/>
      <c r="W563" s="2"/>
      <c r="X563" s="2"/>
      <c r="Y563" s="2"/>
      <c r="Z563" s="2"/>
    </row>
    <row r="564">
      <c r="A564" s="2" t="str">
        <f>IFERROR(__xludf.DUMMYFUNCTION("""COMPUTED_VALUE"""),"Chestplate of Tritonoch")</f>
        <v>Chestplate of Tritonoch</v>
      </c>
      <c r="B564" s="2"/>
      <c r="C564" s="2"/>
      <c r="D564" s="2" t="str">
        <f>IFERROR(__xludf.DUMMYFUNCTION("""COMPUTED_VALUE"""),"Torso")</f>
        <v>Torso</v>
      </c>
      <c r="E564" s="2">
        <f>IFERROR(__xludf.DUMMYFUNCTION("""COMPUTED_VALUE"""),800.0)</f>
        <v>800</v>
      </c>
      <c r="F564" s="2" t="str">
        <f>IFERROR(__xludf.DUMMYFUNCTION("""COMPUTED_VALUE"""),"DEF: +20000, Water DEF: +20000 ++Waves of Entitlement - x5 additional Water damage")</f>
        <v>DEF: +20000, Water DEF: +20000 ++Waves of Entitlement - x5 additional Water damage</v>
      </c>
      <c r="G564" s="2">
        <f>IFERROR(__xludf.DUMMYFUNCTION("""COMPUTED_VALUE"""),3.16E7)</f>
        <v>31600000</v>
      </c>
      <c r="H564" s="2"/>
      <c r="I564" s="2"/>
      <c r="J564" s="2"/>
      <c r="K564" s="2"/>
      <c r="L564" s="2"/>
      <c r="M564" s="2"/>
      <c r="N564" s="2"/>
      <c r="O564" s="2"/>
      <c r="P564" s="2"/>
      <c r="Q564" s="2"/>
      <c r="R564" s="2"/>
      <c r="S564" s="2"/>
      <c r="T564" s="2"/>
      <c r="U564" s="2"/>
      <c r="V564" s="2"/>
      <c r="W564" s="2"/>
      <c r="X564" s="2"/>
      <c r="Y564" s="2"/>
      <c r="Z564" s="2"/>
    </row>
    <row r="565">
      <c r="A565" s="2" t="str">
        <f>IFERROR(__xludf.DUMMYFUNCTION("""COMPUTED_VALUE"""),"Vambraces of Tritonoch")</f>
        <v>Vambraces of Tritonoch</v>
      </c>
      <c r="B565" s="2"/>
      <c r="C565" s="2"/>
      <c r="D565" s="2" t="str">
        <f>IFERROR(__xludf.DUMMYFUNCTION("""COMPUTED_VALUE"""),"Arms")</f>
        <v>Arms</v>
      </c>
      <c r="E565" s="2">
        <f>IFERROR(__xludf.DUMMYFUNCTION("""COMPUTED_VALUE"""),800.0)</f>
        <v>800</v>
      </c>
      <c r="F565" s="2" t="str">
        <f>IFERROR(__xludf.DUMMYFUNCTION("""COMPUTED_VALUE"""),"DEF: +20000, Water DEF: +20000 ++Waves of Entitlement - x5 additional Water damage")</f>
        <v>DEF: +20000, Water DEF: +20000 ++Waves of Entitlement - x5 additional Water damage</v>
      </c>
      <c r="G565" s="2">
        <f>IFERROR(__xludf.DUMMYFUNCTION("""COMPUTED_VALUE"""),3.16E7)</f>
        <v>31600000</v>
      </c>
      <c r="H565" s="2"/>
      <c r="I565" s="2"/>
      <c r="J565" s="2"/>
      <c r="K565" s="2"/>
      <c r="L565" s="2"/>
      <c r="M565" s="2"/>
      <c r="N565" s="2"/>
      <c r="O565" s="2"/>
      <c r="P565" s="2"/>
      <c r="Q565" s="2"/>
      <c r="R565" s="2"/>
      <c r="S565" s="2"/>
      <c r="T565" s="2"/>
      <c r="U565" s="2"/>
      <c r="V565" s="2"/>
      <c r="W565" s="2"/>
      <c r="X565" s="2"/>
      <c r="Y565" s="2"/>
      <c r="Z565" s="2"/>
    </row>
    <row r="566">
      <c r="A566" s="2" t="str">
        <f>IFERROR(__xludf.DUMMYFUNCTION("""COMPUTED_VALUE"""),"Trident of Tritonoch")</f>
        <v>Trident of Tritonoch</v>
      </c>
      <c r="B566" s="2"/>
      <c r="C566" s="2" t="str">
        <f>IFERROR(__xludf.DUMMYFUNCTION("""COMPUTED_VALUE"""),"Spear")</f>
        <v>Spear</v>
      </c>
      <c r="D566" s="2" t="str">
        <f>IFERROR(__xludf.DUMMYFUNCTION("""COMPUTED_VALUE"""),"Hand")</f>
        <v>Hand</v>
      </c>
      <c r="E566" s="2">
        <f>IFERROR(__xludf.DUMMYFUNCTION("""COMPUTED_VALUE"""),200.0)</f>
        <v>200</v>
      </c>
      <c r="F566" s="2" t="str">
        <f>IFERROR(__xludf.DUMMYFUNCTION("""COMPUTED_VALUE"""),"DMG: +20000, Water DMG: +20000, Celestial DMG: +20000 ++Waves of Entitlement II - x10 additional Water damage. 20% chance of Slowness 3 to the target. +-Cannot be duplicated")</f>
        <v>DMG: +20000, Water DMG: +20000, Celestial DMG: +20000 ++Waves of Entitlement II - x10 additional Water damage. 20% chance of Slowness 3 to the target. +-Cannot be duplicated</v>
      </c>
      <c r="G566" s="2">
        <f>IFERROR(__xludf.DUMMYFUNCTION("""COMPUTED_VALUE"""),7.14E7)</f>
        <v>71400000</v>
      </c>
      <c r="H566" s="2"/>
      <c r="I566" s="2"/>
      <c r="J566" s="2"/>
      <c r="K566" s="2"/>
      <c r="L566" s="2"/>
      <c r="M566" s="2"/>
      <c r="N566" s="2"/>
      <c r="O566" s="2"/>
      <c r="P566" s="2"/>
      <c r="Q566" s="2"/>
      <c r="R566" s="2"/>
      <c r="S566" s="2"/>
      <c r="T566" s="2"/>
      <c r="U566" s="2"/>
      <c r="V566" s="2"/>
      <c r="W566" s="2"/>
      <c r="X566" s="2"/>
      <c r="Y566" s="2"/>
      <c r="Z566" s="2"/>
    </row>
    <row r="567">
      <c r="A567" s="2" t="str">
        <f>IFERROR(__xludf.DUMMYFUNCTION("""COMPUTED_VALUE"""),"Boots of Tritonoch")</f>
        <v>Boots of Tritonoch</v>
      </c>
      <c r="B567" s="2"/>
      <c r="C567" s="2"/>
      <c r="D567" s="2" t="str">
        <f>IFERROR(__xludf.DUMMYFUNCTION("""COMPUTED_VALUE"""),"Feet")</f>
        <v>Feet</v>
      </c>
      <c r="E567" s="2">
        <f>IFERROR(__xludf.DUMMYFUNCTION("""COMPUTED_VALUE"""),800.0)</f>
        <v>800</v>
      </c>
      <c r="F567" s="2" t="str">
        <f>IFERROR(__xludf.DUMMYFUNCTION("""COMPUTED_VALUE"""),"DEF: +20000, Water DEF: +20000 ++Waves of Entitlement - x5 additional Water damage")</f>
        <v>DEF: +20000, Water DEF: +20000 ++Waves of Entitlement - x5 additional Water damage</v>
      </c>
      <c r="G567" s="2">
        <f>IFERROR(__xludf.DUMMYFUNCTION("""COMPUTED_VALUE"""),3.16E7)</f>
        <v>31600000</v>
      </c>
      <c r="H567" s="2"/>
      <c r="I567" s="2"/>
      <c r="J567" s="2"/>
      <c r="K567" s="2"/>
      <c r="L567" s="2"/>
      <c r="M567" s="2"/>
      <c r="N567" s="2"/>
      <c r="O567" s="2"/>
      <c r="P567" s="2"/>
      <c r="Q567" s="2"/>
      <c r="R567" s="2"/>
      <c r="S567" s="2"/>
      <c r="T567" s="2"/>
      <c r="U567" s="2"/>
      <c r="V567" s="2"/>
      <c r="W567" s="2"/>
      <c r="X567" s="2"/>
      <c r="Y567" s="2"/>
      <c r="Z567" s="2"/>
    </row>
    <row r="568">
      <c r="A568" s="2" t="str">
        <f>IFERROR(__xludf.DUMMYFUNCTION("""COMPUTED_VALUE"""),"Steel Bandit Dagger")</f>
        <v>Steel Bandit Dagger</v>
      </c>
      <c r="B568" s="2"/>
      <c r="C568" s="2" t="str">
        <f>IFERROR(__xludf.DUMMYFUNCTION("""COMPUTED_VALUE"""),"Knife")</f>
        <v>Knife</v>
      </c>
      <c r="D568" s="2" t="str">
        <f>IFERROR(__xludf.DUMMYFUNCTION("""COMPUTED_VALUE"""),"Hand")</f>
        <v>Hand</v>
      </c>
      <c r="E568" s="2">
        <f>IFERROR(__xludf.DUMMYFUNCTION("""COMPUTED_VALUE"""),1000.0)</f>
        <v>1000</v>
      </c>
      <c r="F568" s="2" t="str">
        <f>IFERROR(__xludf.DUMMYFUNCTION("""COMPUTED_VALUE"""),"DMG: +50000 ++10% chance to steal gilders upon hitting an enemy guilders stolen are equivalent to 1,000*d20")</f>
        <v>DMG: +50000 ++10% chance to steal gilders upon hitting an enemy guilders stolen are equivalent to 1,000*d20</v>
      </c>
      <c r="G568" s="2">
        <f>IFERROR(__xludf.DUMMYFUNCTION("""COMPUTED_VALUE"""),4.95E7)</f>
        <v>49500000</v>
      </c>
      <c r="H568" s="2"/>
      <c r="I568" s="2"/>
      <c r="J568" s="2"/>
      <c r="K568" s="2"/>
      <c r="L568" s="2"/>
      <c r="M568" s="2"/>
      <c r="N568" s="2"/>
      <c r="O568" s="2"/>
      <c r="P568" s="2"/>
      <c r="Q568" s="2"/>
      <c r="R568" s="2"/>
      <c r="S568" s="2"/>
      <c r="T568" s="2"/>
      <c r="U568" s="2"/>
      <c r="V568" s="2"/>
      <c r="W568" s="2"/>
      <c r="X568" s="2"/>
      <c r="Y568" s="2"/>
      <c r="Z568" s="2"/>
    </row>
    <row r="569">
      <c r="A569" s="2" t="str">
        <f>IFERROR(__xludf.DUMMYFUNCTION("""COMPUTED_VALUE"""),"Bandit Hide Helm")</f>
        <v>Bandit Hide Helm</v>
      </c>
      <c r="B569" s="2"/>
      <c r="C569" s="2"/>
      <c r="D569" s="2" t="str">
        <f>IFERROR(__xludf.DUMMYFUNCTION("""COMPUTED_VALUE"""),"Head")</f>
        <v>Head</v>
      </c>
      <c r="E569" s="2">
        <f>IFERROR(__xludf.DUMMYFUNCTION("""COMPUTED_VALUE"""),1000.0)</f>
        <v>1000</v>
      </c>
      <c r="F569" s="2" t="str">
        <f>IFERROR(__xludf.DUMMYFUNCTION("""COMPUTED_VALUE"""),"DEF: +50000")</f>
        <v>DEF: +50000</v>
      </c>
      <c r="G569" s="2">
        <f>IFERROR(__xludf.DUMMYFUNCTION("""COMPUTED_VALUE"""),4.95E7)</f>
        <v>49500000</v>
      </c>
      <c r="H569" s="2"/>
      <c r="I569" s="2"/>
      <c r="J569" s="2"/>
      <c r="K569" s="2"/>
      <c r="L569" s="2"/>
      <c r="M569" s="2"/>
      <c r="N569" s="2"/>
      <c r="O569" s="2"/>
      <c r="P569" s="2"/>
      <c r="Q569" s="2"/>
      <c r="R569" s="2"/>
      <c r="S569" s="2"/>
      <c r="T569" s="2"/>
      <c r="U569" s="2"/>
      <c r="V569" s="2"/>
      <c r="W569" s="2"/>
      <c r="X569" s="2"/>
      <c r="Y569" s="2"/>
      <c r="Z569" s="2"/>
    </row>
    <row r="570">
      <c r="A570" s="2" t="str">
        <f>IFERROR(__xludf.DUMMYFUNCTION("""COMPUTED_VALUE"""),"Bandit Hide Padding")</f>
        <v>Bandit Hide Padding</v>
      </c>
      <c r="B570" s="2"/>
      <c r="C570" s="2"/>
      <c r="D570" s="2" t="str">
        <f>IFERROR(__xludf.DUMMYFUNCTION("""COMPUTED_VALUE"""),"Shoulders")</f>
        <v>Shoulders</v>
      </c>
      <c r="E570" s="2">
        <f>IFERROR(__xludf.DUMMYFUNCTION("""COMPUTED_VALUE"""),1000.0)</f>
        <v>1000</v>
      </c>
      <c r="F570" s="2" t="str">
        <f>IFERROR(__xludf.DUMMYFUNCTION("""COMPUTED_VALUE"""),"DEF: +50000")</f>
        <v>DEF: +50000</v>
      </c>
      <c r="G570" s="2">
        <f>IFERROR(__xludf.DUMMYFUNCTION("""COMPUTED_VALUE"""),4.95E7)</f>
        <v>49500000</v>
      </c>
      <c r="H570" s="2"/>
      <c r="I570" s="2"/>
      <c r="J570" s="2"/>
      <c r="K570" s="2"/>
      <c r="L570" s="2"/>
      <c r="M570" s="2"/>
      <c r="N570" s="2"/>
      <c r="O570" s="2"/>
      <c r="P570" s="2"/>
      <c r="Q570" s="2"/>
      <c r="R570" s="2"/>
      <c r="S570" s="2"/>
      <c r="T570" s="2"/>
      <c r="U570" s="2"/>
      <c r="V570" s="2"/>
      <c r="W570" s="2"/>
      <c r="X570" s="2"/>
      <c r="Y570" s="2"/>
      <c r="Z570" s="2"/>
    </row>
    <row r="571">
      <c r="A571" s="2" t="str">
        <f>IFERROR(__xludf.DUMMYFUNCTION("""COMPUTED_VALUE"""),"Bandit Hide Chestplate")</f>
        <v>Bandit Hide Chestplate</v>
      </c>
      <c r="B571" s="2"/>
      <c r="C571" s="2"/>
      <c r="D571" s="2" t="str">
        <f>IFERROR(__xludf.DUMMYFUNCTION("""COMPUTED_VALUE"""),"Torso")</f>
        <v>Torso</v>
      </c>
      <c r="E571" s="2">
        <f>IFERROR(__xludf.DUMMYFUNCTION("""COMPUTED_VALUE"""),1000.0)</f>
        <v>1000</v>
      </c>
      <c r="F571" s="2" t="str">
        <f>IFERROR(__xludf.DUMMYFUNCTION("""COMPUTED_VALUE"""),"DEF: +50000 ++X2 damage with Knives")</f>
        <v>DEF: +50000 ++X2 damage with Knives</v>
      </c>
      <c r="G571" s="2">
        <f>IFERROR(__xludf.DUMMYFUNCTION("""COMPUTED_VALUE"""),4.95E7)</f>
        <v>49500000</v>
      </c>
      <c r="H571" s="2"/>
      <c r="I571" s="2"/>
      <c r="J571" s="2"/>
      <c r="K571" s="2"/>
      <c r="L571" s="2"/>
      <c r="M571" s="2"/>
      <c r="N571" s="2"/>
      <c r="O571" s="2"/>
      <c r="P571" s="2"/>
      <c r="Q571" s="2"/>
      <c r="R571" s="2"/>
      <c r="S571" s="2"/>
      <c r="T571" s="2"/>
      <c r="U571" s="2"/>
      <c r="V571" s="2"/>
      <c r="W571" s="2"/>
      <c r="X571" s="2"/>
      <c r="Y571" s="2"/>
      <c r="Z571" s="2"/>
    </row>
    <row r="572">
      <c r="A572" s="2" t="str">
        <f>IFERROR(__xludf.DUMMYFUNCTION("""COMPUTED_VALUE"""),"Bandit Hide Vambraces")</f>
        <v>Bandit Hide Vambraces</v>
      </c>
      <c r="B572" s="2"/>
      <c r="C572" s="2"/>
      <c r="D572" s="2" t="str">
        <f>IFERROR(__xludf.DUMMYFUNCTION("""COMPUTED_VALUE"""),"Arms")</f>
        <v>Arms</v>
      </c>
      <c r="E572" s="2">
        <f>IFERROR(__xludf.DUMMYFUNCTION("""COMPUTED_VALUE"""),1000.0)</f>
        <v>1000</v>
      </c>
      <c r="F572" s="2" t="str">
        <f>IFERROR(__xludf.DUMMYFUNCTION("""COMPUTED_VALUE"""),"DEF: +50000")</f>
        <v>DEF: +50000</v>
      </c>
      <c r="G572" s="2">
        <f>IFERROR(__xludf.DUMMYFUNCTION("""COMPUTED_VALUE"""),4.95E7)</f>
        <v>49500000</v>
      </c>
      <c r="H572" s="2"/>
      <c r="I572" s="2"/>
      <c r="J572" s="2"/>
      <c r="K572" s="2"/>
      <c r="L572" s="2"/>
      <c r="M572" s="2"/>
      <c r="N572" s="2"/>
      <c r="O572" s="2"/>
      <c r="P572" s="2"/>
      <c r="Q572" s="2"/>
      <c r="R572" s="2"/>
      <c r="S572" s="2"/>
      <c r="T572" s="2"/>
      <c r="U572" s="2"/>
      <c r="V572" s="2"/>
      <c r="W572" s="2"/>
      <c r="X572" s="2"/>
      <c r="Y572" s="2"/>
      <c r="Z572" s="2"/>
    </row>
    <row r="573">
      <c r="A573" s="2" t="str">
        <f>IFERROR(__xludf.DUMMYFUNCTION("""COMPUTED_VALUE"""),"Bandit Hide Greaves")</f>
        <v>Bandit Hide Greaves</v>
      </c>
      <c r="B573" s="2"/>
      <c r="C573" s="2"/>
      <c r="D573" s="2" t="str">
        <f>IFERROR(__xludf.DUMMYFUNCTION("""COMPUTED_VALUE"""),"Legs")</f>
        <v>Legs</v>
      </c>
      <c r="E573" s="2">
        <f>IFERROR(__xludf.DUMMYFUNCTION("""COMPUTED_VALUE"""),1000.0)</f>
        <v>1000</v>
      </c>
      <c r="F573" s="2" t="str">
        <f>IFERROR(__xludf.DUMMYFUNCTION("""COMPUTED_VALUE"""),"DEF: +50000")</f>
        <v>DEF: +50000</v>
      </c>
      <c r="G573" s="2">
        <f>IFERROR(__xludf.DUMMYFUNCTION("""COMPUTED_VALUE"""),4.95E7)</f>
        <v>49500000</v>
      </c>
      <c r="H573" s="2"/>
      <c r="I573" s="2"/>
      <c r="J573" s="2"/>
      <c r="K573" s="2"/>
      <c r="L573" s="2"/>
      <c r="M573" s="2"/>
      <c r="N573" s="2"/>
      <c r="O573" s="2"/>
      <c r="P573" s="2"/>
      <c r="Q573" s="2"/>
      <c r="R573" s="2"/>
      <c r="S573" s="2"/>
      <c r="T573" s="2"/>
      <c r="U573" s="2"/>
      <c r="V573" s="2"/>
      <c r="W573" s="2"/>
      <c r="X573" s="2"/>
      <c r="Y573" s="2"/>
      <c r="Z573" s="2"/>
    </row>
    <row r="574">
      <c r="A574" s="2" t="str">
        <f>IFERROR(__xludf.DUMMYFUNCTION("""COMPUTED_VALUE"""),"Bandit Hide Boots")</f>
        <v>Bandit Hide Boots</v>
      </c>
      <c r="B574" s="2"/>
      <c r="C574" s="2"/>
      <c r="D574" s="2" t="str">
        <f>IFERROR(__xludf.DUMMYFUNCTION("""COMPUTED_VALUE"""),"Feet")</f>
        <v>Feet</v>
      </c>
      <c r="E574" s="2">
        <f>IFERROR(__xludf.DUMMYFUNCTION("""COMPUTED_VALUE"""),1000.0)</f>
        <v>1000</v>
      </c>
      <c r="F574" s="2" t="str">
        <f>IFERROR(__xludf.DUMMYFUNCTION("""COMPUTED_VALUE"""),"DEF: +50000  ++5 to all confiscate, pickpocket, or take rolls")</f>
        <v>DEF: +50000  ++5 to all confiscate, pickpocket, or take rolls</v>
      </c>
      <c r="G574" s="2">
        <f>IFERROR(__xludf.DUMMYFUNCTION("""COMPUTED_VALUE"""),4.95E7)</f>
        <v>49500000</v>
      </c>
      <c r="H574" s="2"/>
      <c r="I574" s="2"/>
      <c r="J574" s="2"/>
      <c r="K574" s="2"/>
      <c r="L574" s="2"/>
      <c r="M574" s="2"/>
      <c r="N574" s="2"/>
      <c r="O574" s="2"/>
      <c r="P574" s="2"/>
      <c r="Q574" s="2"/>
      <c r="R574" s="2"/>
      <c r="S574" s="2"/>
      <c r="T574" s="2"/>
      <c r="U574" s="2"/>
      <c r="V574" s="2"/>
      <c r="W574" s="2"/>
      <c r="X574" s="2"/>
      <c r="Y574" s="2"/>
      <c r="Z574" s="2"/>
    </row>
    <row r="575">
      <c r="A575" s="2" t="str">
        <f>IFERROR(__xludf.DUMMYFUNCTION("""COMPUTED_VALUE"""),"Nunchucks")</f>
        <v>Nunchucks</v>
      </c>
      <c r="B575" s="2"/>
      <c r="C575" s="2" t="str">
        <f>IFERROR(__xludf.DUMMYFUNCTION("""COMPUTED_VALUE"""),"Club")</f>
        <v>Club</v>
      </c>
      <c r="D575" s="2" t="str">
        <f>IFERROR(__xludf.DUMMYFUNCTION("""COMPUTED_VALUE"""),"Hand")</f>
        <v>Hand</v>
      </c>
      <c r="E575" s="2">
        <f>IFERROR(__xludf.DUMMYFUNCTION("""COMPUTED_VALUE"""),3000.0)</f>
        <v>3000</v>
      </c>
      <c r="F575" s="2" t="str">
        <f>IFERROR(__xludf.DUMMYFUNCTION("""COMPUTED_VALUE"""),"DMG: +150000 ++10% chance to disarm your enemy when hitting them")</f>
        <v>DMG: +150000 ++10% chance to disarm your enemy when hitting them</v>
      </c>
      <c r="G575" s="2">
        <f>IFERROR(__xludf.DUMMYFUNCTION("""COMPUTED_VALUE"""),4.485E8)</f>
        <v>448500000</v>
      </c>
      <c r="H575" s="2"/>
      <c r="I575" s="2"/>
      <c r="J575" s="2"/>
      <c r="K575" s="2"/>
      <c r="L575" s="2"/>
      <c r="M575" s="2"/>
      <c r="N575" s="2"/>
      <c r="O575" s="2"/>
      <c r="P575" s="2"/>
      <c r="Q575" s="2"/>
      <c r="R575" s="2"/>
      <c r="S575" s="2"/>
      <c r="T575" s="2"/>
      <c r="U575" s="2"/>
      <c r="V575" s="2"/>
      <c r="W575" s="2"/>
      <c r="X575" s="2"/>
      <c r="Y575" s="2"/>
      <c r="Z575" s="2"/>
    </row>
    <row r="576">
      <c r="A576" s="2" t="str">
        <f>IFERROR(__xludf.DUMMYFUNCTION("""COMPUTED_VALUE"""),"Shuriken (Enhanced)")</f>
        <v>Shuriken (Enhanced)</v>
      </c>
      <c r="B576" s="2" t="str">
        <f>IFERROR(__xludf.DUMMYFUNCTION("""COMPUTED_VALUE"""),"the tantamount Ninja weapon, requires a level of dexterity you probably don't possess")</f>
        <v>the tantamount Ninja weapon, requires a level of dexterity you probably don't possess</v>
      </c>
      <c r="C576" s="2" t="str">
        <f>IFERROR(__xludf.DUMMYFUNCTION("""COMPUTED_VALUE"""),"Boomerang")</f>
        <v>Boomerang</v>
      </c>
      <c r="D576" s="2" t="str">
        <f>IFERROR(__xludf.DUMMYFUNCTION("""COMPUTED_VALUE"""),"Hand")</f>
        <v>Hand</v>
      </c>
      <c r="E576" s="2">
        <f>IFERROR(__xludf.DUMMYFUNCTION("""COMPUTED_VALUE"""),1500.0)</f>
        <v>1500</v>
      </c>
      <c r="F576" s="2" t="str">
        <f>IFERROR(__xludf.DUMMYFUNCTION("""COMPUTED_VALUE"""),"DMG: +50000, Blood DMG: +25000 ++Returns when thrown, can throw up to 4 in one attack (roll 1d4 to determine)")</f>
        <v>DMG: +50000, Blood DMG: +25000 ++Returns when thrown, can throw up to 4 in one attack (roll 1d4 to determine)</v>
      </c>
      <c r="G576" s="2">
        <f>IFERROR(__xludf.DUMMYFUNCTION("""COMPUTED_VALUE"""),1.1175E8)</f>
        <v>111750000</v>
      </c>
      <c r="H576" s="2"/>
      <c r="I576" s="2"/>
      <c r="J576" s="2"/>
      <c r="K576" s="2"/>
      <c r="L576" s="2"/>
      <c r="M576" s="2"/>
      <c r="N576" s="2"/>
      <c r="O576" s="2"/>
      <c r="P576" s="2"/>
      <c r="Q576" s="2"/>
      <c r="R576" s="2"/>
      <c r="S576" s="2"/>
      <c r="T576" s="2"/>
      <c r="U576" s="2"/>
      <c r="V576" s="2"/>
      <c r="W576" s="2"/>
      <c r="X576" s="2"/>
      <c r="Y576" s="2"/>
      <c r="Z576" s="2"/>
    </row>
    <row r="577">
      <c r="A577" s="2" t="str">
        <f>IFERROR(__xludf.DUMMYFUNCTION("""COMPUTED_VALUE"""),"Poison Dart Gun")</f>
        <v>Poison Dart Gun</v>
      </c>
      <c r="B577" s="2" t="str">
        <f>IFERROR(__xludf.DUMMYFUNCTION("""COMPUTED_VALUE"""),"Poisoners first, and most trusty weapon. Nearly as old as the poison masters themselves these weapons have been part of the ")</f>
        <v>Poisoners first, and most trusty weapon. Nearly as old as the poison masters themselves these weapons have been part of the </v>
      </c>
      <c r="C577" s="2" t="str">
        <f>IFERROR(__xludf.DUMMYFUNCTION("""COMPUTED_VALUE"""),"Firearm")</f>
        <v>Firearm</v>
      </c>
      <c r="D577" s="2" t="str">
        <f>IFERROR(__xludf.DUMMYFUNCTION("""COMPUTED_VALUE"""),"Hand")</f>
        <v>Hand</v>
      </c>
      <c r="E577" s="2">
        <f>IFERROR(__xludf.DUMMYFUNCTION("""COMPUTED_VALUE"""),2000.0)</f>
        <v>2000</v>
      </c>
      <c r="F577" s="2" t="str">
        <f>IFERROR(__xludf.DUMMYFUNCTION("""COMPUTED_VALUE"""),"DMG: +75000, Voodoo DMG: +25000 ++Inflicts Poison 2500 for 2 rounds. ++Uses darts as ammo")</f>
        <v>DMG: +75000, Voodoo DMG: +25000 ++Inflicts Poison 2500 for 2 rounds. ++Uses darts as ammo</v>
      </c>
      <c r="G577" s="2">
        <f>IFERROR(__xludf.DUMMYFUNCTION("""COMPUTED_VALUE"""),1.99E8)</f>
        <v>199000000</v>
      </c>
      <c r="H577" s="2"/>
      <c r="I577" s="2"/>
      <c r="J577" s="2"/>
      <c r="K577" s="2"/>
      <c r="L577" s="2"/>
      <c r="M577" s="2"/>
      <c r="N577" s="2"/>
      <c r="O577" s="2"/>
      <c r="P577" s="2"/>
      <c r="Q577" s="2"/>
      <c r="R577" s="2"/>
      <c r="S577" s="2"/>
      <c r="T577" s="2"/>
      <c r="U577" s="2"/>
      <c r="V577" s="2"/>
      <c r="W577" s="2"/>
      <c r="X577" s="2"/>
      <c r="Y577" s="2"/>
      <c r="Z577" s="2"/>
    </row>
    <row r="578">
      <c r="A578" s="2" t="str">
        <f>IFERROR(__xludf.DUMMYFUNCTION("""COMPUTED_VALUE"""),"Poison Tipped Needle")</f>
        <v>Poison Tipped Needle</v>
      </c>
      <c r="B578" s="2" t="str">
        <f>IFERROR(__xludf.DUMMYFUNCTION("""COMPUTED_VALUE"""),"A needle dipped in master Wushang's thousand poisons or some other Wuxia novel esque bullshit")</f>
        <v>A needle dipped in master Wushang's thousand poisons or some other Wuxia novel esque bullshit</v>
      </c>
      <c r="C578" s="2" t="str">
        <f>IFERROR(__xludf.DUMMYFUNCTION("""COMPUTED_VALUE"""),"Knife")</f>
        <v>Knife</v>
      </c>
      <c r="D578" s="2" t="str">
        <f>IFERROR(__xludf.DUMMYFUNCTION("""COMPUTED_VALUE"""),"Hand")</f>
        <v>Hand</v>
      </c>
      <c r="E578" s="2">
        <f>IFERROR(__xludf.DUMMYFUNCTION("""COMPUTED_VALUE"""),2000.0)</f>
        <v>2000</v>
      </c>
      <c r="F578" s="2" t="str">
        <f>IFERROR(__xludf.DUMMYFUNCTION("""COMPUTED_VALUE"""),"DMG: +75000, Voodoo DMG: +25000 ++When rolling a Natural 19 or 20 deals X3 Damage. ++Inflicts Poison 100")</f>
        <v>DMG: +75000, Voodoo DMG: +25000 ++When rolling a Natural 19 or 20 deals X3 Damage. ++Inflicts Poison 100</v>
      </c>
      <c r="G578" s="2">
        <f>IFERROR(__xludf.DUMMYFUNCTION("""COMPUTED_VALUE"""),1.99E8)</f>
        <v>199000000</v>
      </c>
      <c r="H578" s="2"/>
      <c r="I578" s="2"/>
      <c r="J578" s="2"/>
      <c r="K578" s="2"/>
      <c r="L578" s="2"/>
      <c r="M578" s="2"/>
      <c r="N578" s="2"/>
      <c r="O578" s="2"/>
      <c r="P578" s="2"/>
      <c r="Q578" s="2"/>
      <c r="R578" s="2"/>
      <c r="S578" s="2"/>
      <c r="T578" s="2"/>
      <c r="U578" s="2"/>
      <c r="V578" s="2"/>
      <c r="W578" s="2"/>
      <c r="X578" s="2"/>
      <c r="Y578" s="2"/>
      <c r="Z578" s="2"/>
    </row>
    <row r="579">
      <c r="A579" s="2" t="str">
        <f>IFERROR(__xludf.DUMMYFUNCTION("""COMPUTED_VALUE"""),"Katana (Enhanced)")</f>
        <v>Katana (Enhanced)</v>
      </c>
      <c r="B579" s="2" t="str">
        <f>IFERROR(__xludf.DUMMYFUNCTION("""COMPUTED_VALUE"""),"The sword of weebs and actual samurai alike, surprisingly yes, weebs do exist in Spira")</f>
        <v>The sword of weebs and actual samurai alike, surprisingly yes, weebs do exist in Spira</v>
      </c>
      <c r="C579" s="2" t="str">
        <f>IFERROR(__xludf.DUMMYFUNCTION("""COMPUTED_VALUE"""),"Sword")</f>
        <v>Sword</v>
      </c>
      <c r="D579" s="2" t="str">
        <f>IFERROR(__xludf.DUMMYFUNCTION("""COMPUTED_VALUE"""),"Hand")</f>
        <v>Hand</v>
      </c>
      <c r="E579" s="2">
        <f>IFERROR(__xludf.DUMMYFUNCTION("""COMPUTED_VALUE"""),2500.0)</f>
        <v>2500</v>
      </c>
      <c r="F579" s="2" t="str">
        <f>IFERROR(__xludf.DUMMYFUNCTION("""COMPUTED_VALUE"""),"DMG: +125000 ++Triples the chance for the sword ability to activate, +-Cannot be Forged")</f>
        <v>DMG: +125000 ++Triples the chance for the sword ability to activate, +-Cannot be Forged</v>
      </c>
      <c r="G579" s="2">
        <f>IFERROR(__xludf.DUMMYFUNCTION("""COMPUTED_VALUE"""),3.1125E8)</f>
        <v>311250000</v>
      </c>
      <c r="H579" s="2"/>
      <c r="I579" s="2"/>
      <c r="J579" s="2"/>
      <c r="K579" s="2"/>
      <c r="L579" s="2"/>
      <c r="M579" s="2"/>
      <c r="N579" s="2"/>
      <c r="O579" s="2"/>
      <c r="P579" s="2"/>
      <c r="Q579" s="2"/>
      <c r="R579" s="2"/>
      <c r="S579" s="2"/>
      <c r="T579" s="2"/>
      <c r="U579" s="2"/>
      <c r="V579" s="2"/>
      <c r="W579" s="2"/>
      <c r="X579" s="2"/>
      <c r="Y579" s="2"/>
      <c r="Z579" s="2"/>
    </row>
    <row r="580">
      <c r="A580" s="2" t="str">
        <f>IFERROR(__xludf.DUMMYFUNCTION("""COMPUTED_VALUE"""),"Ninja Initiate's Cowl")</f>
        <v>Ninja Initiate's Cowl</v>
      </c>
      <c r="B580" s="2" t="str">
        <f>IFERROR(__xludf.DUMMYFUNCTION("""COMPUTED_VALUE"""),"Armor given to newbie Ninja's who have yet to choose a master")</f>
        <v>Armor given to newbie Ninja's who have yet to choose a master</v>
      </c>
      <c r="C580" s="2"/>
      <c r="D580" s="2" t="str">
        <f>IFERROR(__xludf.DUMMYFUNCTION("""COMPUTED_VALUE"""),"Head")</f>
        <v>Head</v>
      </c>
      <c r="E580" s="2">
        <f>IFERROR(__xludf.DUMMYFUNCTION("""COMPUTED_VALUE"""),2500.0)</f>
        <v>2500</v>
      </c>
      <c r="F580" s="2" t="str">
        <f>IFERROR(__xludf.DUMMYFUNCTION("""COMPUTED_VALUE"""),"DEF: +125000 ++X2 damage with Knives")</f>
        <v>DEF: +125000 ++X2 damage with Knives</v>
      </c>
      <c r="G580" s="2">
        <f>IFERROR(__xludf.DUMMYFUNCTION("""COMPUTED_VALUE"""),3.1125E8)</f>
        <v>311250000</v>
      </c>
      <c r="H580" s="2"/>
      <c r="I580" s="2"/>
      <c r="J580" s="2"/>
      <c r="K580" s="2"/>
      <c r="L580" s="2"/>
      <c r="M580" s="2"/>
      <c r="N580" s="2"/>
      <c r="O580" s="2"/>
      <c r="P580" s="2"/>
      <c r="Q580" s="2"/>
      <c r="R580" s="2"/>
      <c r="S580" s="2"/>
      <c r="T580" s="2"/>
      <c r="U580" s="2"/>
      <c r="V580" s="2"/>
      <c r="W580" s="2"/>
      <c r="X580" s="2"/>
      <c r="Y580" s="2"/>
      <c r="Z580" s="2"/>
    </row>
    <row r="581">
      <c r="A581" s="2" t="str">
        <f>IFERROR(__xludf.DUMMYFUNCTION("""COMPUTED_VALUE"""),"Ninja Initiate's Cape")</f>
        <v>Ninja Initiate's Cape</v>
      </c>
      <c r="B581" s="2" t="str">
        <f>IFERROR(__xludf.DUMMYFUNCTION("""COMPUTED_VALUE"""),"Armor given to newbie Ninja's who have yet to choose a master")</f>
        <v>Armor given to newbie Ninja's who have yet to choose a master</v>
      </c>
      <c r="C581" s="2"/>
      <c r="D581" s="2" t="str">
        <f>IFERROR(__xludf.DUMMYFUNCTION("""COMPUTED_VALUE"""),"Shoulders")</f>
        <v>Shoulders</v>
      </c>
      <c r="E581" s="2">
        <f>IFERROR(__xludf.DUMMYFUNCTION("""COMPUTED_VALUE"""),2500.0)</f>
        <v>2500</v>
      </c>
      <c r="F581" s="2" t="str">
        <f>IFERROR(__xludf.DUMMYFUNCTION("""COMPUTED_VALUE"""),"DEF: +125000 ++X2 damage with Knives")</f>
        <v>DEF: +125000 ++X2 damage with Knives</v>
      </c>
      <c r="G581" s="2">
        <f>IFERROR(__xludf.DUMMYFUNCTION("""COMPUTED_VALUE"""),3.1125E8)</f>
        <v>311250000</v>
      </c>
      <c r="H581" s="2"/>
      <c r="I581" s="2"/>
      <c r="J581" s="2"/>
      <c r="K581" s="2"/>
      <c r="L581" s="2"/>
      <c r="M581" s="2"/>
      <c r="N581" s="2"/>
      <c r="O581" s="2"/>
      <c r="P581" s="2"/>
      <c r="Q581" s="2"/>
      <c r="R581" s="2"/>
      <c r="S581" s="2"/>
      <c r="T581" s="2"/>
      <c r="U581" s="2"/>
      <c r="V581" s="2"/>
      <c r="W581" s="2"/>
      <c r="X581" s="2"/>
      <c r="Y581" s="2"/>
      <c r="Z581" s="2"/>
    </row>
    <row r="582">
      <c r="A582" s="2" t="str">
        <f>IFERROR(__xludf.DUMMYFUNCTION("""COMPUTED_VALUE"""),"Ninja Initiate's Vest")</f>
        <v>Ninja Initiate's Vest</v>
      </c>
      <c r="B582" s="2" t="str">
        <f>IFERROR(__xludf.DUMMYFUNCTION("""COMPUTED_VALUE"""),"Armor given to newbie Ninja's who have yet to choose a master")</f>
        <v>Armor given to newbie Ninja's who have yet to choose a master</v>
      </c>
      <c r="C582" s="2"/>
      <c r="D582" s="2" t="str">
        <f>IFERROR(__xludf.DUMMYFUNCTION("""COMPUTED_VALUE"""),"Torso")</f>
        <v>Torso</v>
      </c>
      <c r="E582" s="2">
        <f>IFERROR(__xludf.DUMMYFUNCTION("""COMPUTED_VALUE"""),2500.0)</f>
        <v>2500</v>
      </c>
      <c r="F582" s="2" t="str">
        <f>IFERROR(__xludf.DUMMYFUNCTION("""COMPUTED_VALUE"""),"DEF: +125000 ++X2 damage with Knives")</f>
        <v>DEF: +125000 ++X2 damage with Knives</v>
      </c>
      <c r="G582" s="2">
        <f>IFERROR(__xludf.DUMMYFUNCTION("""COMPUTED_VALUE"""),3.1125E8)</f>
        <v>311250000</v>
      </c>
      <c r="H582" s="2"/>
      <c r="I582" s="2"/>
      <c r="J582" s="2"/>
      <c r="K582" s="2"/>
      <c r="L582" s="2"/>
      <c r="M582" s="2"/>
      <c r="N582" s="2"/>
      <c r="O582" s="2"/>
      <c r="P582" s="2"/>
      <c r="Q582" s="2"/>
      <c r="R582" s="2"/>
      <c r="S582" s="2"/>
      <c r="T582" s="2"/>
      <c r="U582" s="2"/>
      <c r="V582" s="2"/>
      <c r="W582" s="2"/>
      <c r="X582" s="2"/>
      <c r="Y582" s="2"/>
      <c r="Z582" s="2"/>
    </row>
    <row r="583">
      <c r="A583" s="2" t="str">
        <f>IFERROR(__xludf.DUMMYFUNCTION("""COMPUTED_VALUE"""),"Ninja Initiate's Gloves")</f>
        <v>Ninja Initiate's Gloves</v>
      </c>
      <c r="B583" s="2" t="str">
        <f>IFERROR(__xludf.DUMMYFUNCTION("""COMPUTED_VALUE"""),"Armor given to newbie Ninja's who have yet to choose a master")</f>
        <v>Armor given to newbie Ninja's who have yet to choose a master</v>
      </c>
      <c r="C583" s="2"/>
      <c r="D583" s="2" t="str">
        <f>IFERROR(__xludf.DUMMYFUNCTION("""COMPUTED_VALUE"""),"Arms")</f>
        <v>Arms</v>
      </c>
      <c r="E583" s="2">
        <f>IFERROR(__xludf.DUMMYFUNCTION("""COMPUTED_VALUE"""),2500.0)</f>
        <v>2500</v>
      </c>
      <c r="F583" s="2" t="str">
        <f>IFERROR(__xludf.DUMMYFUNCTION("""COMPUTED_VALUE"""),"DEF: +125000 ++X2 damage with Knives")</f>
        <v>DEF: +125000 ++X2 damage with Knives</v>
      </c>
      <c r="G583" s="2">
        <f>IFERROR(__xludf.DUMMYFUNCTION("""COMPUTED_VALUE"""),3.1125E8)</f>
        <v>311250000</v>
      </c>
      <c r="H583" s="2"/>
      <c r="I583" s="2"/>
      <c r="J583" s="2"/>
      <c r="K583" s="2"/>
      <c r="L583" s="2"/>
      <c r="M583" s="2"/>
      <c r="N583" s="2"/>
      <c r="O583" s="2"/>
      <c r="P583" s="2"/>
      <c r="Q583" s="2"/>
      <c r="R583" s="2"/>
      <c r="S583" s="2"/>
      <c r="T583" s="2"/>
      <c r="U583" s="2"/>
      <c r="V583" s="2"/>
      <c r="W583" s="2"/>
      <c r="X583" s="2"/>
      <c r="Y583" s="2"/>
      <c r="Z583" s="2"/>
    </row>
    <row r="584">
      <c r="A584" s="2" t="str">
        <f>IFERROR(__xludf.DUMMYFUNCTION("""COMPUTED_VALUE"""),"Ninja Initiate's Sarouel")</f>
        <v>Ninja Initiate's Sarouel</v>
      </c>
      <c r="B584" s="2" t="str">
        <f>IFERROR(__xludf.DUMMYFUNCTION("""COMPUTED_VALUE"""),"Armor given to newbie Ninja's who have yet to choose a master")</f>
        <v>Armor given to newbie Ninja's who have yet to choose a master</v>
      </c>
      <c r="C584" s="2"/>
      <c r="D584" s="2" t="str">
        <f>IFERROR(__xludf.DUMMYFUNCTION("""COMPUTED_VALUE"""),"Legs")</f>
        <v>Legs</v>
      </c>
      <c r="E584" s="2">
        <f>IFERROR(__xludf.DUMMYFUNCTION("""COMPUTED_VALUE"""),2500.0)</f>
        <v>2500</v>
      </c>
      <c r="F584" s="2" t="str">
        <f>IFERROR(__xludf.DUMMYFUNCTION("""COMPUTED_VALUE"""),"DEF: +125000 ++X2 damage with Knives")</f>
        <v>DEF: +125000 ++X2 damage with Knives</v>
      </c>
      <c r="G584" s="2">
        <f>IFERROR(__xludf.DUMMYFUNCTION("""COMPUTED_VALUE"""),3.1125E8)</f>
        <v>311250000</v>
      </c>
      <c r="H584" s="2"/>
      <c r="I584" s="2"/>
      <c r="J584" s="2"/>
      <c r="K584" s="2"/>
      <c r="L584" s="2"/>
      <c r="M584" s="2"/>
      <c r="N584" s="2"/>
      <c r="O584" s="2"/>
      <c r="P584" s="2"/>
      <c r="Q584" s="2"/>
      <c r="R584" s="2"/>
      <c r="S584" s="2"/>
      <c r="T584" s="2"/>
      <c r="U584" s="2"/>
      <c r="V584" s="2"/>
      <c r="W584" s="2"/>
      <c r="X584" s="2"/>
      <c r="Y584" s="2"/>
      <c r="Z584" s="2"/>
    </row>
    <row r="585">
      <c r="A585" s="2" t="str">
        <f>IFERROR(__xludf.DUMMYFUNCTION("""COMPUTED_VALUE"""),"Ninja Initiate's Sandals")</f>
        <v>Ninja Initiate's Sandals</v>
      </c>
      <c r="B585" s="2" t="str">
        <f>IFERROR(__xludf.DUMMYFUNCTION("""COMPUTED_VALUE"""),"Armor given to newbie Ninja's who have yet to choose a master")</f>
        <v>Armor given to newbie Ninja's who have yet to choose a master</v>
      </c>
      <c r="C585" s="2"/>
      <c r="D585" s="2" t="str">
        <f>IFERROR(__xludf.DUMMYFUNCTION("""COMPUTED_VALUE"""),"Feet")</f>
        <v>Feet</v>
      </c>
      <c r="E585" s="2">
        <f>IFERROR(__xludf.DUMMYFUNCTION("""COMPUTED_VALUE"""),2500.0)</f>
        <v>2500</v>
      </c>
      <c r="F585" s="2" t="str">
        <f>IFERROR(__xludf.DUMMYFUNCTION("""COMPUTED_VALUE"""),"DEF: +125000 ++X2 damage with Knives")</f>
        <v>DEF: +125000 ++X2 damage with Knives</v>
      </c>
      <c r="G585" s="2">
        <f>IFERROR(__xludf.DUMMYFUNCTION("""COMPUTED_VALUE"""),3.1125E8)</f>
        <v>311250000</v>
      </c>
      <c r="H585" s="2"/>
      <c r="I585" s="2"/>
      <c r="J585" s="2"/>
      <c r="K585" s="2"/>
      <c r="L585" s="2"/>
      <c r="M585" s="2"/>
      <c r="N585" s="2"/>
      <c r="O585" s="2"/>
      <c r="P585" s="2"/>
      <c r="Q585" s="2"/>
      <c r="R585" s="2"/>
      <c r="S585" s="2"/>
      <c r="T585" s="2"/>
      <c r="U585" s="2"/>
      <c r="V585" s="2"/>
      <c r="W585" s="2"/>
      <c r="X585" s="2"/>
      <c r="Y585" s="2"/>
      <c r="Z585" s="2"/>
    </row>
    <row r="586">
      <c r="A586" s="2" t="str">
        <f>IFERROR(__xludf.DUMMYFUNCTION("""COMPUTED_VALUE"""),"Sai")</f>
        <v>Sai</v>
      </c>
      <c r="B586" s="2" t="str">
        <f>IFERROR(__xludf.DUMMYFUNCTION("""COMPUTED_VALUE"""),"A weapon designed for redirecting an enemies blade and then striking for their vitals")</f>
        <v>A weapon designed for redirecting an enemies blade and then striking for their vitals</v>
      </c>
      <c r="C586" s="2" t="str">
        <f>IFERROR(__xludf.DUMMYFUNCTION("""COMPUTED_VALUE"""),"Knife")</f>
        <v>Knife</v>
      </c>
      <c r="D586" s="2" t="str">
        <f>IFERROR(__xludf.DUMMYFUNCTION("""COMPUTED_VALUE"""),"Hand")</f>
        <v>Hand</v>
      </c>
      <c r="E586" s="2">
        <f>IFERROR(__xludf.DUMMYFUNCTION("""COMPUTED_VALUE"""),2500.0)</f>
        <v>2500</v>
      </c>
      <c r="F586" s="2" t="str">
        <f>IFERROR(__xludf.DUMMYFUNCTION("""COMPUTED_VALUE"""),"DEF: +125000 ++Defensive Fighting: This weapon uses it's DEF as damage for attacks made with the weapon. ++Dastardly Deflection: 25% chance to parry any weapon attacks targeting the user.")</f>
        <v>DEF: +125000 ++Defensive Fighting: This weapon uses it's DEF as damage for attacks made with the weapon. ++Dastardly Deflection: 25% chance to parry any weapon attacks targeting the user.</v>
      </c>
      <c r="G586" s="2">
        <f>IFERROR(__xludf.DUMMYFUNCTION("""COMPUTED_VALUE"""),3.1125E8)</f>
        <v>311250000</v>
      </c>
      <c r="H586" s="2"/>
      <c r="I586" s="2"/>
      <c r="J586" s="2"/>
      <c r="K586" s="2"/>
      <c r="L586" s="2"/>
      <c r="M586" s="2"/>
      <c r="N586" s="2"/>
      <c r="O586" s="2"/>
      <c r="P586" s="2"/>
      <c r="Q586" s="2"/>
      <c r="R586" s="2"/>
      <c r="S586" s="2"/>
      <c r="T586" s="2"/>
      <c r="U586" s="2"/>
      <c r="V586" s="2"/>
      <c r="W586" s="2"/>
      <c r="X586" s="2"/>
      <c r="Y586" s="2"/>
      <c r="Z586" s="2"/>
    </row>
    <row r="587">
      <c r="A587" s="2" t="str">
        <f>IFERROR(__xludf.DUMMYFUNCTION("""COMPUTED_VALUE"""),"Poison Master's Mask")</f>
        <v>Poison Master's Mask</v>
      </c>
      <c r="B587" s="2"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C587" s="2"/>
      <c r="D587" s="2" t="str">
        <f>IFERROR(__xludf.DUMMYFUNCTION("""COMPUTED_VALUE"""),"Head")</f>
        <v>Head</v>
      </c>
      <c r="E587" s="2">
        <f>IFERROR(__xludf.DUMMYFUNCTION("""COMPUTED_VALUE"""),2500.0)</f>
        <v>2500</v>
      </c>
      <c r="F587" s="2" t="str">
        <f>IFERROR(__xludf.DUMMYFUNCTION("""COMPUTED_VALUE"""),"DEF: +125000 ++X2 Poison damage")</f>
        <v>DEF: +125000 ++X2 Poison damage</v>
      </c>
      <c r="G587" s="2">
        <f>IFERROR(__xludf.DUMMYFUNCTION("""COMPUTED_VALUE"""),3.1125E8)</f>
        <v>311250000</v>
      </c>
      <c r="H587" s="2"/>
      <c r="I587" s="2"/>
      <c r="J587" s="2"/>
      <c r="K587" s="2"/>
      <c r="L587" s="2"/>
      <c r="M587" s="2"/>
      <c r="N587" s="2"/>
      <c r="O587" s="2"/>
      <c r="P587" s="2"/>
      <c r="Q587" s="2"/>
      <c r="R587" s="2"/>
      <c r="S587" s="2"/>
      <c r="T587" s="2"/>
      <c r="U587" s="2"/>
      <c r="V587" s="2"/>
      <c r="W587" s="2"/>
      <c r="X587" s="2"/>
      <c r="Y587" s="2"/>
      <c r="Z587" s="2"/>
    </row>
    <row r="588">
      <c r="A588" s="2" t="str">
        <f>IFERROR(__xludf.DUMMYFUNCTION("""COMPUTED_VALUE"""),"Poison Master's Cape")</f>
        <v>Poison Master's Cape</v>
      </c>
      <c r="B588" s="2"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C588" s="2"/>
      <c r="D588" s="2" t="str">
        <f>IFERROR(__xludf.DUMMYFUNCTION("""COMPUTED_VALUE"""),"Shoulders")</f>
        <v>Shoulders</v>
      </c>
      <c r="E588" s="2">
        <f>IFERROR(__xludf.DUMMYFUNCTION("""COMPUTED_VALUE"""),2500.0)</f>
        <v>2500</v>
      </c>
      <c r="F588" s="2" t="str">
        <f>IFERROR(__xludf.DUMMYFUNCTION("""COMPUTED_VALUE"""),"DEF: +125000 ++X2 Poison damage")</f>
        <v>DEF: +125000 ++X2 Poison damage</v>
      </c>
      <c r="G588" s="2">
        <f>IFERROR(__xludf.DUMMYFUNCTION("""COMPUTED_VALUE"""),3.1125E8)</f>
        <v>311250000</v>
      </c>
      <c r="H588" s="2"/>
      <c r="I588" s="2"/>
      <c r="J588" s="2"/>
      <c r="K588" s="2"/>
      <c r="L588" s="2"/>
      <c r="M588" s="2"/>
      <c r="N588" s="2"/>
      <c r="O588" s="2"/>
      <c r="P588" s="2"/>
      <c r="Q588" s="2"/>
      <c r="R588" s="2"/>
      <c r="S588" s="2"/>
      <c r="T588" s="2"/>
      <c r="U588" s="2"/>
      <c r="V588" s="2"/>
      <c r="W588" s="2"/>
      <c r="X588" s="2"/>
      <c r="Y588" s="2"/>
      <c r="Z588" s="2"/>
    </row>
    <row r="589">
      <c r="A589" s="2" t="str">
        <f>IFERROR(__xludf.DUMMYFUNCTION("""COMPUTED_VALUE"""),"Poison Master's Robe")</f>
        <v>Poison Master's Robe</v>
      </c>
      <c r="B589" s="2"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C589" s="2"/>
      <c r="D589" s="2" t="str">
        <f>IFERROR(__xludf.DUMMYFUNCTION("""COMPUTED_VALUE"""),"Torso")</f>
        <v>Torso</v>
      </c>
      <c r="E589" s="2">
        <f>IFERROR(__xludf.DUMMYFUNCTION("""COMPUTED_VALUE"""),2500.0)</f>
        <v>2500</v>
      </c>
      <c r="F589" s="2" t="str">
        <f>IFERROR(__xludf.DUMMYFUNCTION("""COMPUTED_VALUE"""),"DEF: +125000")</f>
        <v>DEF: +125000</v>
      </c>
      <c r="G589" s="2">
        <f>IFERROR(__xludf.DUMMYFUNCTION("""COMPUTED_VALUE"""),3.1125E8)</f>
        <v>311250000</v>
      </c>
      <c r="H589" s="2"/>
      <c r="I589" s="2"/>
      <c r="J589" s="2"/>
      <c r="K589" s="2"/>
      <c r="L589" s="2"/>
      <c r="M589" s="2"/>
      <c r="N589" s="2"/>
      <c r="O589" s="2"/>
      <c r="P589" s="2"/>
      <c r="Q589" s="2"/>
      <c r="R589" s="2"/>
      <c r="S589" s="2"/>
      <c r="T589" s="2"/>
      <c r="U589" s="2"/>
      <c r="V589" s="2"/>
      <c r="W589" s="2"/>
      <c r="X589" s="2"/>
      <c r="Y589" s="2"/>
      <c r="Z589" s="2"/>
    </row>
    <row r="590">
      <c r="A590" s="2" t="str">
        <f>IFERROR(__xludf.DUMMYFUNCTION("""COMPUTED_VALUE"""),"Poison Master's Heavy Duty Gloves")</f>
        <v>Poison Master's Heavy Duty Gloves</v>
      </c>
      <c r="B590" s="2"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C590" s="2"/>
      <c r="D590" s="2" t="str">
        <f>IFERROR(__xludf.DUMMYFUNCTION("""COMPUTED_VALUE"""),"Arms")</f>
        <v>Arms</v>
      </c>
      <c r="E590" s="2">
        <f>IFERROR(__xludf.DUMMYFUNCTION("""COMPUTED_VALUE"""),2500.0)</f>
        <v>2500</v>
      </c>
      <c r="F590" s="2" t="str">
        <f>IFERROR(__xludf.DUMMYFUNCTION("""COMPUTED_VALUE"""),"DEF: +125000 ++Poison Immunity")</f>
        <v>DEF: +125000 ++Poison Immunity</v>
      </c>
      <c r="G590" s="2">
        <f>IFERROR(__xludf.DUMMYFUNCTION("""COMPUTED_VALUE"""),3.1125E8)</f>
        <v>311250000</v>
      </c>
      <c r="H590" s="2"/>
      <c r="I590" s="2"/>
      <c r="J590" s="2"/>
      <c r="K590" s="2"/>
      <c r="L590" s="2"/>
      <c r="M590" s="2"/>
      <c r="N590" s="2"/>
      <c r="O590" s="2"/>
      <c r="P590" s="2"/>
      <c r="Q590" s="2"/>
      <c r="R590" s="2"/>
      <c r="S590" s="2"/>
      <c r="T590" s="2"/>
      <c r="U590" s="2"/>
      <c r="V590" s="2"/>
      <c r="W590" s="2"/>
      <c r="X590" s="2"/>
      <c r="Y590" s="2"/>
      <c r="Z590" s="2"/>
    </row>
    <row r="591">
      <c r="A591" s="2" t="str">
        <f>IFERROR(__xludf.DUMMYFUNCTION("""COMPUTED_VALUE"""),"Poison Master's Sarouel")</f>
        <v>Poison Master's Sarouel</v>
      </c>
      <c r="B591" s="2"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C591" s="2"/>
      <c r="D591" s="2" t="str">
        <f>IFERROR(__xludf.DUMMYFUNCTION("""COMPUTED_VALUE"""),"Legs")</f>
        <v>Legs</v>
      </c>
      <c r="E591" s="2">
        <f>IFERROR(__xludf.DUMMYFUNCTION("""COMPUTED_VALUE"""),2500.0)</f>
        <v>2500</v>
      </c>
      <c r="F591" s="2" t="str">
        <f>IFERROR(__xludf.DUMMYFUNCTION("""COMPUTED_VALUE"""),"DEF: +125000")</f>
        <v>DEF: +125000</v>
      </c>
      <c r="G591" s="2">
        <f>IFERROR(__xludf.DUMMYFUNCTION("""COMPUTED_VALUE"""),3.1125E8)</f>
        <v>311250000</v>
      </c>
      <c r="H591" s="2"/>
      <c r="I591" s="2"/>
      <c r="J591" s="2"/>
      <c r="K591" s="2"/>
      <c r="L591" s="2"/>
      <c r="M591" s="2"/>
      <c r="N591" s="2"/>
      <c r="O591" s="2"/>
      <c r="P591" s="2"/>
      <c r="Q591" s="2"/>
      <c r="R591" s="2"/>
      <c r="S591" s="2"/>
      <c r="T591" s="2"/>
      <c r="U591" s="2"/>
      <c r="V591" s="2"/>
      <c r="W591" s="2"/>
      <c r="X591" s="2"/>
      <c r="Y591" s="2"/>
      <c r="Z591" s="2"/>
    </row>
    <row r="592">
      <c r="A592" s="2" t="str">
        <f>IFERROR(__xludf.DUMMYFUNCTION("""COMPUTED_VALUE"""),"Poison Master's Boots")</f>
        <v>Poison Master's Boots</v>
      </c>
      <c r="B592" s="2" t="str">
        <f>IFERROR(__xludf.DUMMYFUNCTION("""COMPUTED_VALUE"""),"The Armor of the Poison masters. Completely covers the bodies of the Poison master which has decayed beyond recognition from their continued usage of poison.")</f>
        <v>The Armor of the Poison masters. Completely covers the bodies of the Poison master which has decayed beyond recognition from their continued usage of poison.</v>
      </c>
      <c r="C592" s="2"/>
      <c r="D592" s="2" t="str">
        <f>IFERROR(__xludf.DUMMYFUNCTION("""COMPUTED_VALUE"""),"Feet")</f>
        <v>Feet</v>
      </c>
      <c r="E592" s="2">
        <f>IFERROR(__xludf.DUMMYFUNCTION("""COMPUTED_VALUE"""),2500.0)</f>
        <v>2500</v>
      </c>
      <c r="F592" s="2" t="str">
        <f>IFERROR(__xludf.DUMMYFUNCTION("""COMPUTED_VALUE"""),"DEF: +125000 ++When an enemy is Poisoned gain Haste 3")</f>
        <v>DEF: +125000 ++When an enemy is Poisoned gain Haste 3</v>
      </c>
      <c r="G592" s="2">
        <f>IFERROR(__xludf.DUMMYFUNCTION("""COMPUTED_VALUE"""),3.1125E8)</f>
        <v>311250000</v>
      </c>
      <c r="H592" s="2"/>
      <c r="I592" s="2"/>
      <c r="J592" s="2"/>
      <c r="K592" s="2"/>
      <c r="L592" s="2"/>
      <c r="M592" s="2"/>
      <c r="N592" s="2"/>
      <c r="O592" s="2"/>
      <c r="P592" s="2"/>
      <c r="Q592" s="2"/>
      <c r="R592" s="2"/>
      <c r="S592" s="2"/>
      <c r="T592" s="2"/>
      <c r="U592" s="2"/>
      <c r="V592" s="2"/>
      <c r="W592" s="2"/>
      <c r="X592" s="2"/>
      <c r="Y592" s="2"/>
      <c r="Z592" s="2"/>
    </row>
    <row r="593">
      <c r="A593" s="2" t="str">
        <f>IFERROR(__xludf.DUMMYFUNCTION("""COMPUTED_VALUE"""),"Ambusher's Cowl")</f>
        <v>Ambusher's Cowl</v>
      </c>
      <c r="B593" s="2" t="str">
        <f>IFERROR(__xludf.DUMMYFUNCTION("""COMPUTED_VALUE"""),"The armor of intermediate ninja's who have decided to pursue the art of the ambush to the extreme")</f>
        <v>The armor of intermediate ninja's who have decided to pursue the art of the ambush to the extreme</v>
      </c>
      <c r="C593" s="2"/>
      <c r="D593" s="2" t="str">
        <f>IFERROR(__xludf.DUMMYFUNCTION("""COMPUTED_VALUE"""),"Head")</f>
        <v>Head</v>
      </c>
      <c r="E593" s="2">
        <f>IFERROR(__xludf.DUMMYFUNCTION("""COMPUTED_VALUE"""),2500.0)</f>
        <v>2500</v>
      </c>
      <c r="F593" s="2" t="str">
        <f>IFERROR(__xludf.DUMMYFUNCTION("""COMPUTED_VALUE"""),"DEF: +125000 ++Conceal is Guaranteed to cast if the last action you took was a weapon attack")</f>
        <v>DEF: +125000 ++Conceal is Guaranteed to cast if the last action you took was a weapon attack</v>
      </c>
      <c r="G593" s="2">
        <f>IFERROR(__xludf.DUMMYFUNCTION("""COMPUTED_VALUE"""),3.1125E8)</f>
        <v>311250000</v>
      </c>
      <c r="H593" s="2"/>
      <c r="I593" s="2"/>
      <c r="J593" s="2"/>
      <c r="K593" s="2"/>
      <c r="L593" s="2"/>
      <c r="M593" s="2"/>
      <c r="N593" s="2"/>
      <c r="O593" s="2"/>
      <c r="P593" s="2"/>
      <c r="Q593" s="2"/>
      <c r="R593" s="2"/>
      <c r="S593" s="2"/>
      <c r="T593" s="2"/>
      <c r="U593" s="2"/>
      <c r="V593" s="2"/>
      <c r="W593" s="2"/>
      <c r="X593" s="2"/>
      <c r="Y593" s="2"/>
      <c r="Z593" s="2"/>
    </row>
    <row r="594">
      <c r="A594" s="2" t="str">
        <f>IFERROR(__xludf.DUMMYFUNCTION("""COMPUTED_VALUE"""),"Ambusher's Cape")</f>
        <v>Ambusher's Cape</v>
      </c>
      <c r="B594" s="2" t="str">
        <f>IFERROR(__xludf.DUMMYFUNCTION("""COMPUTED_VALUE"""),"The armor of intermediate ninja's who have decided to pursue the art of the ambush to the extreme")</f>
        <v>The armor of intermediate ninja's who have decided to pursue the art of the ambush to the extreme</v>
      </c>
      <c r="C594" s="2"/>
      <c r="D594" s="2" t="str">
        <f>IFERROR(__xludf.DUMMYFUNCTION("""COMPUTED_VALUE"""),"Shoulders")</f>
        <v>Shoulders</v>
      </c>
      <c r="E594" s="2">
        <f>IFERROR(__xludf.DUMMYFUNCTION("""COMPUTED_VALUE"""),2500.0)</f>
        <v>2500</v>
      </c>
      <c r="F594" s="2" t="str">
        <f>IFERROR(__xludf.DUMMYFUNCTION("""COMPUTED_VALUE"""),"DEF: +125000 ++Conceal: upon entering combat you are invulnerable for 1 round or until you attack")</f>
        <v>DEF: +125000 ++Conceal: upon entering combat you are invulnerable for 1 round or until you attack</v>
      </c>
      <c r="G594" s="2">
        <f>IFERROR(__xludf.DUMMYFUNCTION("""COMPUTED_VALUE"""),3.1125E8)</f>
        <v>311250000</v>
      </c>
      <c r="H594" s="2"/>
      <c r="I594" s="2"/>
      <c r="J594" s="2"/>
      <c r="K594" s="2"/>
      <c r="L594" s="2"/>
      <c r="M594" s="2"/>
      <c r="N594" s="2"/>
      <c r="O594" s="2"/>
      <c r="P594" s="2"/>
      <c r="Q594" s="2"/>
      <c r="R594" s="2"/>
      <c r="S594" s="2"/>
      <c r="T594" s="2"/>
      <c r="U594" s="2"/>
      <c r="V594" s="2"/>
      <c r="W594" s="2"/>
      <c r="X594" s="2"/>
      <c r="Y594" s="2"/>
      <c r="Z594" s="2"/>
    </row>
    <row r="595">
      <c r="A595" s="2" t="str">
        <f>IFERROR(__xludf.DUMMYFUNCTION("""COMPUTED_VALUE"""),"Ambusher's Vest")</f>
        <v>Ambusher's Vest</v>
      </c>
      <c r="B595" s="2" t="str">
        <f>IFERROR(__xludf.DUMMYFUNCTION("""COMPUTED_VALUE"""),"The armor of intermediate ninja's who have decided to pursue the art of the ambush to the extreme")</f>
        <v>The armor of intermediate ninja's who have decided to pursue the art of the ambush to the extreme</v>
      </c>
      <c r="C595" s="2"/>
      <c r="D595" s="2" t="str">
        <f>IFERROR(__xludf.DUMMYFUNCTION("""COMPUTED_VALUE"""),"Torso")</f>
        <v>Torso</v>
      </c>
      <c r="E595" s="2">
        <f>IFERROR(__xludf.DUMMYFUNCTION("""COMPUTED_VALUE"""),2500.0)</f>
        <v>2500</v>
      </c>
      <c r="F595" s="2" t="str">
        <f>IFERROR(__xludf.DUMMYFUNCTION("""COMPUTED_VALUE"""),"DEF: +125000 ++When breaking concealment deal X2 damage")</f>
        <v>DEF: +125000 ++When breaking concealment deal X2 damage</v>
      </c>
      <c r="G595" s="2">
        <f>IFERROR(__xludf.DUMMYFUNCTION("""COMPUTED_VALUE"""),3.1125E8)</f>
        <v>311250000</v>
      </c>
      <c r="H595" s="2"/>
      <c r="I595" s="2"/>
      <c r="J595" s="2"/>
      <c r="K595" s="2"/>
      <c r="L595" s="2"/>
      <c r="M595" s="2"/>
      <c r="N595" s="2"/>
      <c r="O595" s="2"/>
      <c r="P595" s="2"/>
      <c r="Q595" s="2"/>
      <c r="R595" s="2"/>
      <c r="S595" s="2"/>
      <c r="T595" s="2"/>
      <c r="U595" s="2"/>
      <c r="V595" s="2"/>
      <c r="W595" s="2"/>
      <c r="X595" s="2"/>
      <c r="Y595" s="2"/>
      <c r="Z595" s="2"/>
    </row>
    <row r="596">
      <c r="A596" s="2" t="str">
        <f>IFERROR(__xludf.DUMMYFUNCTION("""COMPUTED_VALUE"""),"Ambusher's Gloves")</f>
        <v>Ambusher's Gloves</v>
      </c>
      <c r="B596" s="2" t="str">
        <f>IFERROR(__xludf.DUMMYFUNCTION("""COMPUTED_VALUE"""),"The armor of intermediate ninja's who have decided to pursue the art of the ambush to the extreme")</f>
        <v>The armor of intermediate ninja's who have decided to pursue the art of the ambush to the extreme</v>
      </c>
      <c r="C596" s="2"/>
      <c r="D596" s="2" t="str">
        <f>IFERROR(__xludf.DUMMYFUNCTION("""COMPUTED_VALUE"""),"Arms")</f>
        <v>Arms</v>
      </c>
      <c r="E596" s="2">
        <f>IFERROR(__xludf.DUMMYFUNCTION("""COMPUTED_VALUE"""),2500.0)</f>
        <v>2500</v>
      </c>
      <c r="F596" s="2" t="str">
        <f>IFERROR(__xludf.DUMMYFUNCTION("""COMPUTED_VALUE"""),"DEF: +125000 ++X2 damage with knives, ++Knife ability is 3 times as likely to activate. +-Cannot be forged +-Cannot be duplicated")</f>
        <v>DEF: +125000 ++X2 damage with knives, ++Knife ability is 3 times as likely to activate. +-Cannot be forged +-Cannot be duplicated</v>
      </c>
      <c r="G596" s="2">
        <f>IFERROR(__xludf.DUMMYFUNCTION("""COMPUTED_VALUE"""),3.1125E8)</f>
        <v>311250000</v>
      </c>
      <c r="H596" s="2"/>
      <c r="I596" s="2"/>
      <c r="J596" s="2"/>
      <c r="K596" s="2"/>
      <c r="L596" s="2"/>
      <c r="M596" s="2"/>
      <c r="N596" s="2"/>
      <c r="O596" s="2"/>
      <c r="P596" s="2"/>
      <c r="Q596" s="2"/>
      <c r="R596" s="2"/>
      <c r="S596" s="2"/>
      <c r="T596" s="2"/>
      <c r="U596" s="2"/>
      <c r="V596" s="2"/>
      <c r="W596" s="2"/>
      <c r="X596" s="2"/>
      <c r="Y596" s="2"/>
      <c r="Z596" s="2"/>
    </row>
    <row r="597">
      <c r="A597" s="2" t="str">
        <f>IFERROR(__xludf.DUMMYFUNCTION("""COMPUTED_VALUE"""),"Ambusher's Sarouel")</f>
        <v>Ambusher's Sarouel</v>
      </c>
      <c r="B597" s="2" t="str">
        <f>IFERROR(__xludf.DUMMYFUNCTION("""COMPUTED_VALUE"""),"The armor of intermediate ninja's who have decided to pursue the art of the ambush to the extreme")</f>
        <v>The armor of intermediate ninja's who have decided to pursue the art of the ambush to the extreme</v>
      </c>
      <c r="C597" s="2"/>
      <c r="D597" s="2" t="str">
        <f>IFERROR(__xludf.DUMMYFUNCTION("""COMPUTED_VALUE"""),"Legs")</f>
        <v>Legs</v>
      </c>
      <c r="E597" s="2">
        <f>IFERROR(__xludf.DUMMYFUNCTION("""COMPUTED_VALUE"""),2500.0)</f>
        <v>2500</v>
      </c>
      <c r="F597" s="2" t="str">
        <f>IFERROR(__xludf.DUMMYFUNCTION("""COMPUTED_VALUE"""),"DEF: +125000 ++X2 damage with knives")</f>
        <v>DEF: +125000 ++X2 damage with knives</v>
      </c>
      <c r="G597" s="2">
        <f>IFERROR(__xludf.DUMMYFUNCTION("""COMPUTED_VALUE"""),3.1125E8)</f>
        <v>311250000</v>
      </c>
      <c r="H597" s="2"/>
      <c r="I597" s="2"/>
      <c r="J597" s="2"/>
      <c r="K597" s="2"/>
      <c r="L597" s="2"/>
      <c r="M597" s="2"/>
      <c r="N597" s="2"/>
      <c r="O597" s="2"/>
      <c r="P597" s="2"/>
      <c r="Q597" s="2"/>
      <c r="R597" s="2"/>
      <c r="S597" s="2"/>
      <c r="T597" s="2"/>
      <c r="U597" s="2"/>
      <c r="V597" s="2"/>
      <c r="W597" s="2"/>
      <c r="X597" s="2"/>
      <c r="Y597" s="2"/>
      <c r="Z597" s="2"/>
    </row>
    <row r="598">
      <c r="A598" s="2" t="str">
        <f>IFERROR(__xludf.DUMMYFUNCTION("""COMPUTED_VALUE"""),"Ambusher's Sandals")</f>
        <v>Ambusher's Sandals</v>
      </c>
      <c r="B598" s="2" t="str">
        <f>IFERROR(__xludf.DUMMYFUNCTION("""COMPUTED_VALUE"""),"The armor of intermediate ninja's who have decided to pursue the art of the ambush to the extreme")</f>
        <v>The armor of intermediate ninja's who have decided to pursue the art of the ambush to the extreme</v>
      </c>
      <c r="C598" s="2"/>
      <c r="D598" s="2" t="str">
        <f>IFERROR(__xludf.DUMMYFUNCTION("""COMPUTED_VALUE"""),"Feet")</f>
        <v>Feet</v>
      </c>
      <c r="E598" s="2">
        <f>IFERROR(__xludf.DUMMYFUNCTION("""COMPUTED_VALUE"""),2500.0)</f>
        <v>2500</v>
      </c>
      <c r="F598" s="2" t="str">
        <f>IFERROR(__xludf.DUMMYFUNCTION("""COMPUTED_VALUE"""),"DEF: +125000 ++When breaking concealment gain invigorate 5")</f>
        <v>DEF: +125000 ++When breaking concealment gain invigorate 5</v>
      </c>
      <c r="G598" s="2">
        <f>IFERROR(__xludf.DUMMYFUNCTION("""COMPUTED_VALUE"""),3.1125E8)</f>
        <v>311250000</v>
      </c>
      <c r="H598" s="2"/>
      <c r="I598" s="2"/>
      <c r="J598" s="2"/>
      <c r="K598" s="2"/>
      <c r="L598" s="2"/>
      <c r="M598" s="2"/>
      <c r="N598" s="2"/>
      <c r="O598" s="2"/>
      <c r="P598" s="2"/>
      <c r="Q598" s="2"/>
      <c r="R598" s="2"/>
      <c r="S598" s="2"/>
      <c r="T598" s="2"/>
      <c r="U598" s="2"/>
      <c r="V598" s="2"/>
      <c r="W598" s="2"/>
      <c r="X598" s="2"/>
      <c r="Y598" s="2"/>
      <c r="Z598" s="2"/>
    </row>
    <row r="599">
      <c r="A599" s="2" t="str">
        <f>IFERROR(__xludf.DUMMYFUNCTION("""COMPUTED_VALUE"""),"Blade of Ancestral Blood")</f>
        <v>Blade of Ancestral Blood</v>
      </c>
      <c r="B599" s="2" t="str">
        <f>IFERROR(__xludf.DUMMYFUNCTION("""COMPUTED_VALUE"""),"(Quest Item) This knife holds all the grief of Inugima, the man who turned his back on his clan and lived in grief for his decision until the day he died. The blade is stained red with the blood of Inugima's family and now is stained with his as well. It "&amp;"still seems to hold some special power and you guess it's story probably isn't over yet.")</f>
        <v>(Quest Item) This knife holds all the grief of Inugima, the man who turned his back on his clan and lived in grief for his decision until the day he died. The blade is stained red with the blood of Inugima's family and now is stained with his as well. It still seems to hold some special power and you guess it's story probably isn't over yet.</v>
      </c>
      <c r="C599" s="2" t="str">
        <f>IFERROR(__xludf.DUMMYFUNCTION("""COMPUTED_VALUE"""),"Knife")</f>
        <v>Knife</v>
      </c>
      <c r="D599" s="2" t="str">
        <f>IFERROR(__xludf.DUMMYFUNCTION("""COMPUTED_VALUE"""),"Hand")</f>
        <v>Hand</v>
      </c>
      <c r="E599" s="2">
        <f>IFERROR(__xludf.DUMMYFUNCTION("""COMPUTED_VALUE"""),200.0)</f>
        <v>200</v>
      </c>
      <c r="F599" s="2" t="str">
        <f>IFERROR(__xludf.DUMMYFUNCTION("""COMPUTED_VALUE"""),"DMG: +50000, Chaos DMG: +50000, Voodoo DMG: +50000, Blood DMG: +100000, Celestial DMG: +50000 (Knife) ++The Cursed Knife Forged in Blood: X4 blood damage. ++The Blood of the Backstabbed: When hitting an enemy from concealment you gain a further X4 blood d"&amp;"amage for the rest of battle and Invigorated 3. ++Repentance: Stab yourself and use your blood to attack you enemy dealing 100000 blood damage and 1000 bleed on hit 5000 hp +-Cannot be Duplicated")</f>
        <v>DMG: +50000, Chaos DMG: +50000, Voodoo DMG: +50000, Blood DMG: +100000, Celestial DMG: +50000 (Knife) ++The Cursed Knife Forged in Blood: X4 blood damage. ++The Blood of the Backstabbed: When hitting an enemy from concealment you gain a further X4 blood damage for the rest of battle and Invigorated 3. ++Repentance: Stab yourself and use your blood to attack you enemy dealing 100000 blood damage and 1000 bleed on hit 5000 hp +-Cannot be Duplicated</v>
      </c>
      <c r="G599" s="2">
        <f>IFERROR(__xludf.DUMMYFUNCTION("""COMPUTED_VALUE"""),1.797E9)</f>
        <v>1797000000</v>
      </c>
      <c r="H599" s="2"/>
      <c r="I599" s="2"/>
      <c r="J599" s="2"/>
      <c r="K599" s="2"/>
      <c r="L599" s="2"/>
      <c r="M599" s="2"/>
      <c r="N599" s="2"/>
      <c r="O599" s="2"/>
      <c r="P599" s="2"/>
      <c r="Q599" s="2"/>
      <c r="R599" s="2"/>
      <c r="S599" s="2"/>
      <c r="T599" s="2"/>
      <c r="U599" s="2"/>
      <c r="V599" s="2"/>
      <c r="W599" s="2"/>
      <c r="X599" s="2"/>
      <c r="Y599" s="2"/>
      <c r="Z599" s="2"/>
    </row>
    <row r="600">
      <c r="A600" s="2" t="str">
        <f>IFERROR(__xludf.DUMMYFUNCTION("""COMPUTED_VALUE"""),"Lunaris, Sword of The Moon")</f>
        <v>Lunaris, Sword of The Moon</v>
      </c>
      <c r="B600" s="2" t="str">
        <f>IFERROR(__xludf.DUMMYFUNCTION("""COMPUTED_VALUE"""),"(Quest Item) This blade, Bathed in the light of the fallen moon Goddess holds the power of the moon itself within, it was brought into being when a blade forged in the blood of those betrayed and broken by one they loved was brought to the once beautiful "&amp;"shrine of the betrayed Goddess where it was reformed with the power of the goddess's will and holds within it her wish to protect those around her.")</f>
        <v>(Quest Item) This blade, Bathed in the light of the fallen moon Goddess holds the power of the moon itself within, it was brought into being when a blade forged in the blood of those betrayed and broken by one they loved was brought to the once beautiful shrine of the betrayed Goddess where it was reformed with the power of the goddess's will and holds within it her wish to protect those around her.</v>
      </c>
      <c r="C600" s="2" t="str">
        <f>IFERROR(__xludf.DUMMYFUNCTION("""COMPUTED_VALUE"""),"Sword")</f>
        <v>Sword</v>
      </c>
      <c r="D600" s="2" t="str">
        <f>IFERROR(__xludf.DUMMYFUNCTION("""COMPUTED_VALUE"""),"Hand")</f>
        <v>Hand</v>
      </c>
      <c r="E600" s="2">
        <f>IFERROR(__xludf.DUMMYFUNCTION("""COMPUTED_VALUE"""),200.0)</f>
        <v>200</v>
      </c>
      <c r="F600" s="2" t="str">
        <f>IFERROR(__xludf.DUMMYFUNCTION("""COMPUTED_VALUE"""),"DEF: +200000, Light DEF: +100000, Astral DEF: +200000, Celestial DEF: +100000 (Sword) ++The Blade Blessed By The Stars Above: X6 Astral Damage and this blade uses it's defense as damage. ++To Protect Those You Love: When fighting with at least 2 allies de"&amp;"al X6 further damage with this weapon. ++Forgiveness: Raise your sword into the sky drowning the battlefield in the light of the moon no matter what time it is or where you are. This moonlight protects you and your allies granting you all X2 Defense and N"&amp;"ullifies all Dark and Chaos spells cast on the battlefield regardless of who casts them. +-Cannot be Duplicated")</f>
        <v>DEF: +200000, Light DEF: +100000, Astral DEF: +200000, Celestial DEF: +100000 (Sword) ++The Blade Blessed By The Stars Above: X6 Astral Damage and this blade uses it's defense as damage. ++To Protect Those You Love: When fighting with at least 2 allies deal X6 further damage with this weapon. ++Forgiveness: Raise your sword into the sky drowning the battlefield in the light of the moon no matter what time it is or where you are. This moonlight protects you and your allies granting you all X2 Defense and Nullifies all Dark and Chaos spells cast on the battlefield regardless of who casts them. +-Cannot be Duplicated</v>
      </c>
      <c r="G600" s="2">
        <f>IFERROR(__xludf.DUMMYFUNCTION("""COMPUTED_VALUE"""),7.194E9)</f>
        <v>7194000000</v>
      </c>
      <c r="H600" s="2"/>
      <c r="I600" s="2"/>
      <c r="J600" s="2"/>
      <c r="K600" s="2"/>
      <c r="L600" s="2"/>
      <c r="M600" s="2"/>
      <c r="N600" s="2"/>
      <c r="O600" s="2"/>
      <c r="P600" s="2"/>
      <c r="Q600" s="2"/>
      <c r="R600" s="2"/>
      <c r="S600" s="2"/>
      <c r="T600" s="2"/>
      <c r="U600" s="2"/>
      <c r="V600" s="2"/>
      <c r="W600" s="2"/>
      <c r="X600" s="2"/>
      <c r="Y600" s="2"/>
      <c r="Z600" s="2"/>
    </row>
    <row r="601">
      <c r="A601" s="2" t="str">
        <f>IFERROR(__xludf.DUMMYFUNCTION("""COMPUTED_VALUE"""),"Master Inugima's Cowl")</f>
        <v>Master Inugima's Cowl</v>
      </c>
      <c r="B601" s="2" t="str">
        <f>IFERROR(__xludf.DUMMYFUNCTION("""COMPUTED_VALUE"""),"Mob Exclusive")</f>
        <v>Mob Exclusive</v>
      </c>
      <c r="C601" s="2"/>
      <c r="D601" s="2" t="str">
        <f>IFERROR(__xludf.DUMMYFUNCTION("""COMPUTED_VALUE"""),"Head")</f>
        <v>Head</v>
      </c>
      <c r="E601" s="2">
        <f>IFERROR(__xludf.DUMMYFUNCTION("""COMPUTED_VALUE"""),1.0)</f>
        <v>1</v>
      </c>
      <c r="F601" s="2"/>
      <c r="G601" s="2">
        <f>IFERROR(__xludf.DUMMYFUNCTION("""COMPUTED_VALUE"""),0.0)</f>
        <v>0</v>
      </c>
      <c r="H601" s="2"/>
      <c r="I601" s="2"/>
      <c r="J601" s="2"/>
      <c r="K601" s="2"/>
      <c r="L601" s="2"/>
      <c r="M601" s="2"/>
      <c r="N601" s="2"/>
      <c r="O601" s="2"/>
      <c r="P601" s="2"/>
      <c r="Q601" s="2"/>
      <c r="R601" s="2"/>
      <c r="S601" s="2"/>
      <c r="T601" s="2"/>
      <c r="U601" s="2"/>
      <c r="V601" s="2"/>
      <c r="W601" s="2"/>
      <c r="X601" s="2"/>
      <c r="Y601" s="2"/>
      <c r="Z601" s="2"/>
    </row>
    <row r="602">
      <c r="A602" s="2" t="str">
        <f>IFERROR(__xludf.DUMMYFUNCTION("""COMPUTED_VALUE"""),"Master Inugima's Cape")</f>
        <v>Master Inugima's Cape</v>
      </c>
      <c r="B602" s="2" t="str">
        <f>IFERROR(__xludf.DUMMYFUNCTION("""COMPUTED_VALUE"""),"Mob Exclusive")</f>
        <v>Mob Exclusive</v>
      </c>
      <c r="C602" s="2"/>
      <c r="D602" s="2" t="str">
        <f>IFERROR(__xludf.DUMMYFUNCTION("""COMPUTED_VALUE"""),"Shoulders")</f>
        <v>Shoulders</v>
      </c>
      <c r="E602" s="2">
        <f>IFERROR(__xludf.DUMMYFUNCTION("""COMPUTED_VALUE"""),1.0)</f>
        <v>1</v>
      </c>
      <c r="F602" s="2"/>
      <c r="G602" s="2">
        <f>IFERROR(__xludf.DUMMYFUNCTION("""COMPUTED_VALUE"""),0.0)</f>
        <v>0</v>
      </c>
      <c r="H602" s="2"/>
      <c r="I602" s="2"/>
      <c r="J602" s="2"/>
      <c r="K602" s="2"/>
      <c r="L602" s="2"/>
      <c r="M602" s="2"/>
      <c r="N602" s="2"/>
      <c r="O602" s="2"/>
      <c r="P602" s="2"/>
      <c r="Q602" s="2"/>
      <c r="R602" s="2"/>
      <c r="S602" s="2"/>
      <c r="T602" s="2"/>
      <c r="U602" s="2"/>
      <c r="V602" s="2"/>
      <c r="W602" s="2"/>
      <c r="X602" s="2"/>
      <c r="Y602" s="2"/>
      <c r="Z602" s="2"/>
    </row>
    <row r="603">
      <c r="A603" s="2" t="str">
        <f>IFERROR(__xludf.DUMMYFUNCTION("""COMPUTED_VALUE"""),"Master Inugima's Cloak")</f>
        <v>Master Inugima's Cloak</v>
      </c>
      <c r="B603" s="2" t="str">
        <f>IFERROR(__xludf.DUMMYFUNCTION("""COMPUTED_VALUE"""),"Mob Exclusive")</f>
        <v>Mob Exclusive</v>
      </c>
      <c r="C603" s="2"/>
      <c r="D603" s="2" t="str">
        <f>IFERROR(__xludf.DUMMYFUNCTION("""COMPUTED_VALUE"""),"Torso")</f>
        <v>Torso</v>
      </c>
      <c r="E603" s="2">
        <f>IFERROR(__xludf.DUMMYFUNCTION("""COMPUTED_VALUE"""),1.0)</f>
        <v>1</v>
      </c>
      <c r="F603" s="2"/>
      <c r="G603" s="2">
        <f>IFERROR(__xludf.DUMMYFUNCTION("""COMPUTED_VALUE"""),0.0)</f>
        <v>0</v>
      </c>
      <c r="H603" s="2"/>
      <c r="I603" s="2"/>
      <c r="J603" s="2"/>
      <c r="K603" s="2"/>
      <c r="L603" s="2"/>
      <c r="M603" s="2"/>
      <c r="N603" s="2"/>
      <c r="O603" s="2"/>
      <c r="P603" s="2"/>
      <c r="Q603" s="2"/>
      <c r="R603" s="2"/>
      <c r="S603" s="2"/>
      <c r="T603" s="2"/>
      <c r="U603" s="2"/>
      <c r="V603" s="2"/>
      <c r="W603" s="2"/>
      <c r="X603" s="2"/>
      <c r="Y603" s="2"/>
      <c r="Z603" s="2"/>
    </row>
    <row r="604">
      <c r="A604" s="2" t="str">
        <f>IFERROR(__xludf.DUMMYFUNCTION("""COMPUTED_VALUE"""),"Master Inugima's Gloves")</f>
        <v>Master Inugima's Gloves</v>
      </c>
      <c r="B604" s="2" t="str">
        <f>IFERROR(__xludf.DUMMYFUNCTION("""COMPUTED_VALUE"""),"Mob Exclusive")</f>
        <v>Mob Exclusive</v>
      </c>
      <c r="C604" s="2"/>
      <c r="D604" s="2" t="str">
        <f>IFERROR(__xludf.DUMMYFUNCTION("""COMPUTED_VALUE"""),"Arms")</f>
        <v>Arms</v>
      </c>
      <c r="E604" s="2">
        <f>IFERROR(__xludf.DUMMYFUNCTION("""COMPUTED_VALUE"""),1.0)</f>
        <v>1</v>
      </c>
      <c r="F604" s="2"/>
      <c r="G604" s="2">
        <f>IFERROR(__xludf.DUMMYFUNCTION("""COMPUTED_VALUE"""),0.0)</f>
        <v>0</v>
      </c>
      <c r="H604" s="2"/>
      <c r="I604" s="2"/>
      <c r="J604" s="2"/>
      <c r="K604" s="2"/>
      <c r="L604" s="2"/>
      <c r="M604" s="2"/>
      <c r="N604" s="2"/>
      <c r="O604" s="2"/>
      <c r="P604" s="2"/>
      <c r="Q604" s="2"/>
      <c r="R604" s="2"/>
      <c r="S604" s="2"/>
      <c r="T604" s="2"/>
      <c r="U604" s="2"/>
      <c r="V604" s="2"/>
      <c r="W604" s="2"/>
      <c r="X604" s="2"/>
      <c r="Y604" s="2"/>
      <c r="Z604" s="2"/>
    </row>
    <row r="605">
      <c r="A605" s="2" t="str">
        <f>IFERROR(__xludf.DUMMYFUNCTION("""COMPUTED_VALUE"""),"Master Inugima's Sarouel")</f>
        <v>Master Inugima's Sarouel</v>
      </c>
      <c r="B605" s="2" t="str">
        <f>IFERROR(__xludf.DUMMYFUNCTION("""COMPUTED_VALUE"""),"Mob Exclusive")</f>
        <v>Mob Exclusive</v>
      </c>
      <c r="C605" s="2"/>
      <c r="D605" s="2" t="str">
        <f>IFERROR(__xludf.DUMMYFUNCTION("""COMPUTED_VALUE"""),"Legs")</f>
        <v>Legs</v>
      </c>
      <c r="E605" s="2">
        <f>IFERROR(__xludf.DUMMYFUNCTION("""COMPUTED_VALUE"""),1.0)</f>
        <v>1</v>
      </c>
      <c r="F605" s="2"/>
      <c r="G605" s="2">
        <f>IFERROR(__xludf.DUMMYFUNCTION("""COMPUTED_VALUE"""),0.0)</f>
        <v>0</v>
      </c>
      <c r="H605" s="2"/>
      <c r="I605" s="2"/>
      <c r="J605" s="2"/>
      <c r="K605" s="2"/>
      <c r="L605" s="2"/>
      <c r="M605" s="2"/>
      <c r="N605" s="2"/>
      <c r="O605" s="2"/>
      <c r="P605" s="2"/>
      <c r="Q605" s="2"/>
      <c r="R605" s="2"/>
      <c r="S605" s="2"/>
      <c r="T605" s="2"/>
      <c r="U605" s="2"/>
      <c r="V605" s="2"/>
      <c r="W605" s="2"/>
      <c r="X605" s="2"/>
      <c r="Y605" s="2"/>
      <c r="Z605" s="2"/>
    </row>
    <row r="606">
      <c r="A606" s="2" t="str">
        <f>IFERROR(__xludf.DUMMYFUNCTION("""COMPUTED_VALUE"""),"Master Inugima's Boots")</f>
        <v>Master Inugima's Boots</v>
      </c>
      <c r="B606" s="2" t="str">
        <f>IFERROR(__xludf.DUMMYFUNCTION("""COMPUTED_VALUE"""),"Mob Exclusive")</f>
        <v>Mob Exclusive</v>
      </c>
      <c r="C606" s="2"/>
      <c r="D606" s="2" t="str">
        <f>IFERROR(__xludf.DUMMYFUNCTION("""COMPUTED_VALUE"""),"Feet")</f>
        <v>Feet</v>
      </c>
      <c r="E606" s="2">
        <f>IFERROR(__xludf.DUMMYFUNCTION("""COMPUTED_VALUE"""),1.0)</f>
        <v>1</v>
      </c>
      <c r="F606" s="2"/>
      <c r="G606" s="2">
        <f>IFERROR(__xludf.DUMMYFUNCTION("""COMPUTED_VALUE"""),0.0)</f>
        <v>0</v>
      </c>
      <c r="H606" s="2"/>
      <c r="I606" s="2"/>
      <c r="J606" s="2"/>
      <c r="K606" s="2"/>
      <c r="L606" s="2"/>
      <c r="M606" s="2"/>
      <c r="N606" s="2"/>
      <c r="O606" s="2"/>
      <c r="P606" s="2"/>
      <c r="Q606" s="2"/>
      <c r="R606" s="2"/>
      <c r="S606" s="2"/>
      <c r="T606" s="2"/>
      <c r="U606" s="2"/>
      <c r="V606" s="2"/>
      <c r="W606" s="2"/>
      <c r="X606" s="2"/>
      <c r="Y606" s="2"/>
      <c r="Z606" s="2"/>
    </row>
    <row r="607">
      <c r="A607" s="2" t="str">
        <f>IFERROR(__xludf.DUMMYFUNCTION("""COMPUTED_VALUE"""),"Master Inugima's Ring")</f>
        <v>Master Inugima's Ring</v>
      </c>
      <c r="B607" s="2" t="str">
        <f>IFERROR(__xludf.DUMMYFUNCTION("""COMPUTED_VALUE"""),"Mob Exclusive")</f>
        <v>Mob Exclusive</v>
      </c>
      <c r="C607" s="2"/>
      <c r="D607" s="2" t="str">
        <f>IFERROR(__xludf.DUMMYFUNCTION("""COMPUTED_VALUE"""),"Finger")</f>
        <v>Finger</v>
      </c>
      <c r="E607" s="2">
        <f>IFERROR(__xludf.DUMMYFUNCTION("""COMPUTED_VALUE"""),1.0)</f>
        <v>1</v>
      </c>
      <c r="F607" s="2" t="str">
        <f>IFERROR(__xludf.DUMMYFUNCTION("""COMPUTED_VALUE""")," ++Grants Immunity being unable to act from any sources including sleep, stun, frozen, etc. +-Can only be equipped by Master Inugima Equipping this ring will devour the soul of he who equips it killing them permanently")</f>
        <v> ++Grants Immunity being unable to act from any sources including sleep, stun, frozen, etc. +-Can only be equipped by Master Inugima Equipping this ring will devour the soul of he who equips it killing them permanently</v>
      </c>
      <c r="G607" s="2">
        <f>IFERROR(__xludf.DUMMYFUNCTION("""COMPUTED_VALUE"""),0.0)</f>
        <v>0</v>
      </c>
      <c r="H607" s="2"/>
      <c r="I607" s="2"/>
      <c r="J607" s="2"/>
      <c r="K607" s="2"/>
      <c r="L607" s="2"/>
      <c r="M607" s="2"/>
      <c r="N607" s="2"/>
      <c r="O607" s="2"/>
      <c r="P607" s="2"/>
      <c r="Q607" s="2"/>
      <c r="R607" s="2"/>
      <c r="S607" s="2"/>
      <c r="T607" s="2"/>
      <c r="U607" s="2"/>
      <c r="V607" s="2"/>
      <c r="W607" s="2"/>
      <c r="X607" s="2"/>
      <c r="Y607" s="2"/>
      <c r="Z607" s="2"/>
    </row>
    <row r="608">
      <c r="A608" s="2" t="str">
        <f>IFERROR(__xludf.DUMMYFUNCTION("""COMPUTED_VALUE"""),"Master Inugima's Pendant")</f>
        <v>Master Inugima's Pendant</v>
      </c>
      <c r="B608" s="2" t="str">
        <f>IFERROR(__xludf.DUMMYFUNCTION("""COMPUTED_VALUE"""),"Mob Exclusive")</f>
        <v>Mob Exclusive</v>
      </c>
      <c r="C608" s="2"/>
      <c r="D608" s="2" t="str">
        <f>IFERROR(__xludf.DUMMYFUNCTION("""COMPUTED_VALUE"""),"Neck")</f>
        <v>Neck</v>
      </c>
      <c r="E608" s="2">
        <f>IFERROR(__xludf.DUMMYFUNCTION("""COMPUTED_VALUE"""),1.0)</f>
        <v>1</v>
      </c>
      <c r="F608" s="2"/>
      <c r="G608" s="2">
        <f>IFERROR(__xludf.DUMMYFUNCTION("""COMPUTED_VALUE"""),0.0)</f>
        <v>0</v>
      </c>
      <c r="H608" s="2"/>
      <c r="I608" s="2"/>
      <c r="J608" s="2"/>
      <c r="K608" s="2"/>
      <c r="L608" s="2"/>
      <c r="M608" s="2"/>
      <c r="N608" s="2"/>
      <c r="O608" s="2"/>
      <c r="P608" s="2"/>
      <c r="Q608" s="2"/>
      <c r="R608" s="2"/>
      <c r="S608" s="2"/>
      <c r="T608" s="2"/>
      <c r="U608" s="2"/>
      <c r="V608" s="2"/>
      <c r="W608" s="2"/>
      <c r="X608" s="2"/>
      <c r="Y608" s="2"/>
      <c r="Z608" s="2"/>
    </row>
    <row r="609">
      <c r="A609" s="2" t="str">
        <f>IFERROR(__xludf.DUMMYFUNCTION("""COMPUTED_VALUE"""),"Amulet of Giving")</f>
        <v>Amulet of Giving</v>
      </c>
      <c r="B609" s="2" t="str">
        <f>IFERROR(__xludf.DUMMYFUNCTION("""COMPUTED_VALUE"""),"Thanksgiving Event Item")</f>
        <v>Thanksgiving Event Item</v>
      </c>
      <c r="C609" s="2"/>
      <c r="D609" s="2" t="str">
        <f>IFERROR(__xludf.DUMMYFUNCTION("""COMPUTED_VALUE"""),"Neck")</f>
        <v>Neck</v>
      </c>
      <c r="E609" s="2">
        <f>IFERROR(__xludf.DUMMYFUNCTION("""COMPUTED_VALUE"""),1.0)</f>
        <v>1</v>
      </c>
      <c r="F609" s="2" t="str">
        <f>IFERROR(__xludf.DUMMYFUNCTION("""COMPUTED_VALUE""")," ++Allows you to give up your next turn turn to give a party member a second turn. +-one use per battle +-Cannot be duplicated.")</f>
        <v> ++Allows you to give up your next turn turn to give a party member a second turn. +-one use per battle +-Cannot be duplicated.</v>
      </c>
      <c r="G609" s="2">
        <f>IFERROR(__xludf.DUMMYFUNCTION("""COMPUTED_VALUE"""),0.0)</f>
        <v>0</v>
      </c>
      <c r="H609" s="2"/>
      <c r="I609" s="2"/>
      <c r="J609" s="2"/>
      <c r="K609" s="2"/>
      <c r="L609" s="2"/>
      <c r="M609" s="2"/>
      <c r="N609" s="2"/>
      <c r="O609" s="2"/>
      <c r="P609" s="2"/>
      <c r="Q609" s="2"/>
      <c r="R609" s="2"/>
      <c r="S609" s="2"/>
      <c r="T609" s="2"/>
      <c r="U609" s="2"/>
      <c r="V609" s="2"/>
      <c r="W609" s="2"/>
      <c r="X609" s="2"/>
      <c r="Y609" s="2"/>
      <c r="Z609" s="2"/>
    </row>
    <row r="610">
      <c r="A610" s="2" t="str">
        <f>IFERROR(__xludf.DUMMYFUNCTION("""COMPUTED_VALUE"""),"Pilgrim's Hat")</f>
        <v>Pilgrim's Hat</v>
      </c>
      <c r="B610" s="2" t="str">
        <f>IFERROR(__xludf.DUMMYFUNCTION("""COMPUTED_VALUE"""),"Thanksgiving Event Item")</f>
        <v>Thanksgiving Event Item</v>
      </c>
      <c r="C610" s="2"/>
      <c r="D610" s="2" t="str">
        <f>IFERROR(__xludf.DUMMYFUNCTION("""COMPUTED_VALUE"""),"Head")</f>
        <v>Head</v>
      </c>
      <c r="E610" s="2">
        <f>IFERROR(__xludf.DUMMYFUNCTION("""COMPUTED_VALUE"""),1.0)</f>
        <v>1</v>
      </c>
      <c r="F610" s="2" t="str">
        <f>IFERROR(__xludf.DUMMYFUNCTION("""COMPUTED_VALUE""")," ++Double the hunger, thirst, and energy you receive when consuming a consumable. +-Cannot be duplicated.")</f>
        <v> ++Double the hunger, thirst, and energy you receive when consuming a consumable. +-Cannot be duplicated.</v>
      </c>
      <c r="G610" s="2">
        <f>IFERROR(__xludf.DUMMYFUNCTION("""COMPUTED_VALUE"""),0.0)</f>
        <v>0</v>
      </c>
      <c r="H610" s="2"/>
      <c r="I610" s="2"/>
      <c r="J610" s="2"/>
      <c r="K610" s="2"/>
      <c r="L610" s="2"/>
      <c r="M610" s="2"/>
      <c r="N610" s="2"/>
      <c r="O610" s="2"/>
      <c r="P610" s="2"/>
      <c r="Q610" s="2"/>
      <c r="R610" s="2"/>
      <c r="S610" s="2"/>
      <c r="T610" s="2"/>
      <c r="U610" s="2"/>
      <c r="V610" s="2"/>
      <c r="W610" s="2"/>
      <c r="X610" s="2"/>
      <c r="Y610" s="2"/>
      <c r="Z610" s="2"/>
    </row>
    <row r="611">
      <c r="A611" s="2" t="str">
        <f>IFERROR(__xludf.DUMMYFUNCTION("""COMPUTED_VALUE"""),"Dragon Flute")</f>
        <v>Dragon Flute</v>
      </c>
      <c r="B611" s="2" t="str">
        <f>IFERROR(__xludf.DUMMYFUNCTION("""COMPUTED_VALUE"""),"A flute carved from dragon bone that exudes an enchanting aura when played. It is said that this flute was given as a gift to the dragonoids to signal peace between them and the dragons.")</f>
        <v>A flute carved from dragon bone that exudes an enchanting aura when played. It is said that this flute was given as a gift to the dragonoids to signal peace between them and the dragons.</v>
      </c>
      <c r="C611" s="2" t="str">
        <f>IFERROR(__xludf.DUMMYFUNCTION("""COMPUTED_VALUE"""),"Instrument")</f>
        <v>Instrument</v>
      </c>
      <c r="D611" s="2" t="str">
        <f>IFERROR(__xludf.DUMMYFUNCTION("""COMPUTED_VALUE"""),"Hand")</f>
        <v>Hand</v>
      </c>
      <c r="E611" s="2">
        <f>IFERROR(__xludf.DUMMYFUNCTION("""COMPUTED_VALUE"""),100.0)</f>
        <v>100</v>
      </c>
      <c r="F611" s="2" t="str">
        <f>IFERROR(__xludf.DUMMYFUNCTION("""COMPUTED_VALUE"""),", Acoustic DMG: +5000 ++Summons 1 of the following dragons with a d4 roll: Fire Dragon, Poison Dragon, Storm Dragon, Ancient Water Dragon, Level determined by dm/gm. +-one use per battle")</f>
        <v>, Acoustic DMG: +5000 ++Summons 1 of the following dragons with a d4 roll: Fire Dragon, Poison Dragon, Storm Dragon, Ancient Water Dragon, Level determined by dm/gm. +-one use per battle</v>
      </c>
      <c r="G611" s="2">
        <f>IFERROR(__xludf.DUMMYFUNCTION("""COMPUTED_VALUE"""),450000.0)</f>
        <v>450000</v>
      </c>
      <c r="H611" s="2"/>
      <c r="I611" s="2"/>
      <c r="J611" s="2"/>
      <c r="K611" s="2"/>
      <c r="L611" s="2"/>
      <c r="M611" s="2"/>
      <c r="N611" s="2"/>
      <c r="O611" s="2"/>
      <c r="P611" s="2"/>
      <c r="Q611" s="2"/>
      <c r="R611" s="2"/>
      <c r="S611" s="2"/>
      <c r="T611" s="2"/>
      <c r="U611" s="2"/>
      <c r="V611" s="2"/>
      <c r="W611" s="2"/>
      <c r="X611" s="2"/>
      <c r="Y611" s="2"/>
      <c r="Z611" s="2"/>
    </row>
    <row r="612">
      <c r="A612" s="2" t="str">
        <f>IFERROR(__xludf.DUMMYFUNCTION("""COMPUTED_VALUE"""),"Harbingers' Helm of the Unrestrained (Spira)")</f>
        <v>Harbingers' Helm of the Unrestrained (Spira)</v>
      </c>
      <c r="B612" s="2" t="str">
        <f>IFERROR(__xludf.DUMMYFUNCTION("""COMPUTED_VALUE"""),"The helmet is made of a dark steel which invades the weares mind, originally takes the appearance of a hood but becomes covers more of the wearers face and becomes more bestial looking as the wearer gives in to their insanity more and more.")</f>
        <v>The helmet is made of a dark steel which invades the weares mind, originally takes the appearance of a hood but becomes covers more of the wearers face and becomes more bestial looking as the wearer gives in to their insanity more and more.</v>
      </c>
      <c r="C612" s="2"/>
      <c r="D612" s="2" t="str">
        <f>IFERROR(__xludf.DUMMYFUNCTION("""COMPUTED_VALUE"""),"Head")</f>
        <v>Head</v>
      </c>
      <c r="E612" s="2">
        <f>IFERROR(__xludf.DUMMYFUNCTION("""COMPUTED_VALUE"""),200.0)</f>
        <v>200</v>
      </c>
      <c r="F612" s="2"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++Unbroken will - You become immune to all effects that would prevent you from taking your turn.")</f>
        <v>DEF: +50000, Fire DEF: +10000, Water DEF: +10000, Storm DEF: +10000, Earth DEF: +10000, Light DEF: +10000, Dark DEF: +10000, Spirit DEF: +10000, Order DEF: +10000, Chaos DEF: +10000, Nature DEF: +10000, Voodoo DEF: +10000, Blood DEF: +10000, Zen DEF: +10000, Astral DEF: +10000, Celestial DEF: +10000 ++Unbroken will - You become immune to all effects that would prevent you from taking your turn.</v>
      </c>
      <c r="G612" s="2">
        <f>IFERROR(__xludf.DUMMYFUNCTION("""COMPUTED_VALUE"""),7.98E8)</f>
        <v>798000000</v>
      </c>
      <c r="H612" s="2"/>
      <c r="I612" s="2"/>
      <c r="J612" s="2"/>
      <c r="K612" s="2"/>
      <c r="L612" s="2"/>
      <c r="M612" s="2"/>
      <c r="N612" s="2"/>
      <c r="O612" s="2"/>
      <c r="P612" s="2"/>
      <c r="Q612" s="2"/>
      <c r="R612" s="2"/>
      <c r="S612" s="2"/>
      <c r="T612" s="2"/>
      <c r="U612" s="2"/>
      <c r="V612" s="2"/>
      <c r="W612" s="2"/>
      <c r="X612" s="2"/>
      <c r="Y612" s="2"/>
      <c r="Z612" s="2"/>
    </row>
    <row r="613">
      <c r="A613" s="2" t="str">
        <f>IFERROR(__xludf.DUMMYFUNCTION("""COMPUTED_VALUE"""),"Harbingers' Shifting Pauldrons (Spira)")</f>
        <v>Harbingers' Shifting Pauldrons (Spira)</v>
      </c>
      <c r="B613" s="2" t="str">
        <f>IFERROR(__xludf.DUMMYFUNCTION("""COMPUTED_VALUE"""),"(Quest Item) This knife holds all the grief of Inugima, the man who turned his back on his clan and lived in grief for his descision until the day he died. The blade is stained red with the blood of Inugima's family and now is stained with his as well. It"&amp;" still seems to hold some special power and you guess it's story probably isn't over yet.")</f>
        <v>(Quest Item) This knife holds all the grief of Inugima, the man who turned his back on his clan and lived in grief for his descision until the day he died. The blade is stained red with the blood of Inugima's family and now is stained with his as well. It still seems to hold some special power and you guess it's story probably isn't over yet.</v>
      </c>
      <c r="C613" s="2"/>
      <c r="D613" s="2" t="str">
        <f>IFERROR(__xludf.DUMMYFUNCTION("""COMPUTED_VALUE"""),"Shoulders")</f>
        <v>Shoulders</v>
      </c>
      <c r="E613" s="2">
        <f>IFERROR(__xludf.DUMMYFUNCTION("""COMPUTED_VALUE"""),200.0)</f>
        <v>200</v>
      </c>
      <c r="F613" s="2"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++Adrenaline - Upon being hit with any attack gain 1 stack of Insanity.")</f>
        <v>DEF: +50000, Fire DEF: +10000, Water DEF: +10000, Storm DEF: +10000, Earth DEF: +10000, Light DEF: +10000, Dark DEF: +10000, Spirit DEF: +10000, Order DEF: +10000, Chaos DEF: +10000, Nature DEF: +10000, Voodoo DEF: +10000, Blood DEF: +10000, Zen DEF: +10000, Astral DEF: +10000, Celestial DEF: +10000 ++Adrenaline - Upon being hit with any attack gain 1 stack of Insanity.</v>
      </c>
      <c r="G613" s="2">
        <f>IFERROR(__xludf.DUMMYFUNCTION("""COMPUTED_VALUE"""),7.98E8)</f>
        <v>798000000</v>
      </c>
      <c r="H613" s="2"/>
      <c r="I613" s="2"/>
      <c r="J613" s="2"/>
      <c r="K613" s="2"/>
      <c r="L613" s="2"/>
      <c r="M613" s="2"/>
      <c r="N613" s="2"/>
      <c r="O613" s="2"/>
      <c r="P613" s="2"/>
      <c r="Q613" s="2"/>
      <c r="R613" s="2"/>
      <c r="S613" s="2"/>
      <c r="T613" s="2"/>
      <c r="U613" s="2"/>
      <c r="V613" s="2"/>
      <c r="W613" s="2"/>
      <c r="X613" s="2"/>
      <c r="Y613" s="2"/>
      <c r="Z613" s="2"/>
    </row>
    <row r="614">
      <c r="A614" s="2" t="str">
        <f>IFERROR(__xludf.DUMMYFUNCTION("""COMPUTED_VALUE"""),"Harbingers' Emblazoned Chest of The Encroaching Void (Spira)")</f>
        <v>Harbingers' Emblazoned Chest of The Encroaching Void (Spira)</v>
      </c>
      <c r="B614" s="2" t="str">
        <f>IFERROR(__xludf.DUMMYFUNCTION("""COMPUTED_VALUE"""),"The Harbinger's armor is made of a dark steel which drives its wearer progressively further whilst in combat. The armor takes the rage of its wearer and multiplies it tenfold whilst breaking off the subconscious limiters on a wearers strength.")</f>
        <v>The Harbinger's armor is made of a dark steel which drives its wearer progressively further whilst in combat. The armor takes the rage of its wearer and multiplies it tenfold whilst breaking off the subconscious limiters on a wearers strength.</v>
      </c>
      <c r="C614" s="2"/>
      <c r="D614" s="2" t="str">
        <f>IFERROR(__xludf.DUMMYFUNCTION("""COMPUTED_VALUE"""),"Torso")</f>
        <v>Torso</v>
      </c>
      <c r="E614" s="2">
        <f>IFERROR(__xludf.DUMMYFUNCTION("""COMPUTED_VALUE"""),200.0)</f>
        <v>200</v>
      </c>
      <c r="F614" s="2"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++Bloodlust - Upon targeting any enemy with an attack gain 2 stacks of insanity")</f>
        <v>DEF: +50000, Fire DEF: +10000, Water DEF: +10000, Storm DEF: +10000, Earth DEF: +10000, Light DEF: +10000, Dark DEF: +10000, Spirit DEF: +10000, Order DEF: +10000, Chaos DEF: +10000, Nature DEF: +10000, Voodoo DEF: +10000, Blood DEF: +10000, Zen DEF: +10000, Astral DEF: +10000, Celestial DEF: +10000 ++Bloodlust - Upon targeting any enemy with an attack gain 2 stacks of insanity</v>
      </c>
      <c r="G614" s="2">
        <f>IFERROR(__xludf.DUMMYFUNCTION("""COMPUTED_VALUE"""),7.98E8)</f>
        <v>798000000</v>
      </c>
      <c r="H614" s="2"/>
      <c r="I614" s="2"/>
      <c r="J614" s="2"/>
      <c r="K614" s="2"/>
      <c r="L614" s="2"/>
      <c r="M614" s="2"/>
      <c r="N614" s="2"/>
      <c r="O614" s="2"/>
      <c r="P614" s="2"/>
      <c r="Q614" s="2"/>
      <c r="R614" s="2"/>
      <c r="S614" s="2"/>
      <c r="T614" s="2"/>
      <c r="U614" s="2"/>
      <c r="V614" s="2"/>
      <c r="W614" s="2"/>
      <c r="X614" s="2"/>
      <c r="Y614" s="2"/>
      <c r="Z614" s="2"/>
    </row>
    <row r="615">
      <c r="A615" s="2" t="str">
        <f>IFERROR(__xludf.DUMMYFUNCTION("""COMPUTED_VALUE"""),"Harbingers' Broken Fettering (Spira)")</f>
        <v>Harbingers' Broken Fettering (Spira)</v>
      </c>
      <c r="B615" s="2" t="str">
        <f>IFERROR(__xludf.DUMMYFUNCTION("""COMPUTED_VALUE"""),"Some have witnessed how the wearers of this mythical armor seem completely unreactive to the pain and it is speculated that the armor itself temporarily cuts off all feelings of pain to keep the wearer fighting.")</f>
        <v>Some have witnessed how the wearers of this mythical armor seem completely unreactive to the pain and it is speculated that the armor itself temporarily cuts off all feelings of pain to keep the wearer fighting.</v>
      </c>
      <c r="C615" s="2"/>
      <c r="D615" s="2" t="str">
        <f>IFERROR(__xludf.DUMMYFUNCTION("""COMPUTED_VALUE"""),"Arms")</f>
        <v>Arms</v>
      </c>
      <c r="E615" s="2">
        <f>IFERROR(__xludf.DUMMYFUNCTION("""COMPUTED_VALUE"""),200.0)</f>
        <v>200</v>
      </c>
      <c r="F615" s="2"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++To Break From Your Shackles - You lash out cleaving your way through reality creating a small distortion dealing 500,000 delta damage to all enemies and allies and inflict Shuttering 5, requiring everyone to"&amp;" roll a fail or succeed roll to bind themselves to this plane or have a party member who succeeded use an action to help them, or if they fail 5 times they will be lost to the void forever, consumes 10 stacks of insanity to cast (Permadeath)(considered an"&amp;" instant death effect for purposes of immunity)")</f>
        <v>DEF: +50000, Fire DEF: +10000, Water DEF: +10000, Storm DEF: +10000, Earth DEF: +10000, Light DEF: +10000, Dark DEF: +10000, Spirit DEF: +10000, Order DEF: +10000, Chaos DEF: +10000, Nature DEF: +10000, Voodoo DEF: +10000, Blood DEF: +10000, Zen DEF: +10000, Astral DEF: +10000, Celestial DEF: +10000 ++To Break From Your Shackles - You lash out cleaving your way through reality creating a small distortion dealing 500,000 delta damage to all enemies and allies and inflict Shuttering 5, requiring everyone to roll a fail or succeed roll to bind themselves to this plane or have a party member who succeeded use an action to help them, or if they fail 5 times they will be lost to the void forever, consumes 10 stacks of insanity to cast (Permadeath)(considered an instant death effect for purposes of immunity)</v>
      </c>
      <c r="G615" s="2">
        <f>IFERROR(__xludf.DUMMYFUNCTION("""COMPUTED_VALUE"""),7.98E8)</f>
        <v>798000000</v>
      </c>
      <c r="H615" s="2"/>
      <c r="I615" s="2"/>
      <c r="J615" s="2"/>
      <c r="K615" s="2"/>
      <c r="L615" s="2"/>
      <c r="M615" s="2"/>
      <c r="N615" s="2"/>
      <c r="O615" s="2"/>
      <c r="P615" s="2"/>
      <c r="Q615" s="2"/>
      <c r="R615" s="2"/>
      <c r="S615" s="2"/>
      <c r="T615" s="2"/>
      <c r="U615" s="2"/>
      <c r="V615" s="2"/>
      <c r="W615" s="2"/>
      <c r="X615" s="2"/>
      <c r="Y615" s="2"/>
      <c r="Z615" s="2"/>
    </row>
    <row r="616">
      <c r="A616" s="2" t="str">
        <f>IFERROR(__xludf.DUMMYFUNCTION("""COMPUTED_VALUE"""),"Harbingers' Ethereal Chausses (Spira)")</f>
        <v>Harbingers' Ethereal Chausses (Spira)</v>
      </c>
      <c r="B616" s="2" t="str">
        <f>IFERROR(__xludf.DUMMYFUNCTION("""COMPUTED_VALUE"""),"Even with broken bones the armor will not allow the wearer to stop fighting, spikes will form from the armor piercing into the damaged limbs and letting the wearer continue controller these destroyed limbs via the armor itself.")</f>
        <v>Even with broken bones the armor will not allow the wearer to stop fighting, spikes will form from the armor piercing into the damaged limbs and letting the wearer continue controller these destroyed limbs via the armor itself.</v>
      </c>
      <c r="C616" s="2"/>
      <c r="D616" s="2" t="str">
        <f>IFERROR(__xludf.DUMMYFUNCTION("""COMPUTED_VALUE"""),"Legs")</f>
        <v>Legs</v>
      </c>
      <c r="E616" s="2">
        <f>IFERROR(__xludf.DUMMYFUNCTION("""COMPUTED_VALUE"""),200.0)</f>
        <v>200</v>
      </c>
      <c r="F616" s="2"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++Voidal Instinct - 50% chance to avoid all delta attacks and instant death effects
++To the Last Drop of Blood - Grants immunity to slowness.")</f>
        <v>DEF: +50000, Fire DEF: +10000, Water DEF: +10000, Storm DEF: +10000, Earth DEF: +10000, Light DEF: +10000, Dark DEF: +10000, Spirit DEF: +10000, Order DEF: +10000, Chaos DEF: +10000, Nature DEF: +10000, Voodoo DEF: +10000, Blood DEF: +10000, Zen DEF: +10000, Astral DEF: +10000, Celestial DEF: +10000 ++Voidal Instinct - 50% chance to avoid all delta attacks and instant death effects
++To the Last Drop of Blood - Grants immunity to slowness.</v>
      </c>
      <c r="G616" s="2">
        <f>IFERROR(__xludf.DUMMYFUNCTION("""COMPUTED_VALUE"""),7.98E8)</f>
        <v>798000000</v>
      </c>
      <c r="H616" s="2"/>
      <c r="I616" s="2"/>
      <c r="J616" s="2"/>
      <c r="K616" s="2"/>
      <c r="L616" s="2"/>
      <c r="M616" s="2"/>
      <c r="N616" s="2"/>
      <c r="O616" s="2"/>
      <c r="P616" s="2"/>
      <c r="Q616" s="2"/>
      <c r="R616" s="2"/>
      <c r="S616" s="2"/>
      <c r="T616" s="2"/>
      <c r="U616" s="2"/>
      <c r="V616" s="2"/>
      <c r="W616" s="2"/>
      <c r="X616" s="2"/>
      <c r="Y616" s="2"/>
      <c r="Z616" s="2"/>
    </row>
    <row r="617">
      <c r="A617" s="2" t="str">
        <f>IFERROR(__xludf.DUMMYFUNCTION("""COMPUTED_VALUE"""),"Harbingers' Spiked Sabatons (Spira)")</f>
        <v>Harbingers' Spiked Sabatons (Spira)</v>
      </c>
      <c r="B617" s="2"/>
      <c r="C617" s="2"/>
      <c r="D617" s="2" t="str">
        <f>IFERROR(__xludf.DUMMYFUNCTION("""COMPUTED_VALUE"""),"Feet")</f>
        <v>Feet</v>
      </c>
      <c r="E617" s="2">
        <f>IFERROR(__xludf.DUMMYFUNCTION("""COMPUTED_VALUE"""),200.0)</f>
        <v>200</v>
      </c>
      <c r="F617" s="2" t="str">
        <f>IFERROR(__xludf.DUMMYFUNCTION("""COMPUTED_VALUE"""),"DEF: +50000, Fire DEF: +10000, Water DEF: +10000, Storm DEF: +10000, Earth DEF: +10000, Light DEF: +10000, Dark DEF: +10000, Spirit DEF: +10000, Order DEF: +10000, Chaos DEF: +10000, Nature DEF: +10000, Voodoo DEF: +10000, Blood DEF: +10000, Zen DEF: +100"&amp;"00, Astral DEF: +10000, Celestial DEF: +10000 ++Leg Sweep - Strike at an opponent's legs making a hit or miss attack (adding mobility) on hit you knock the opponent to the ground inflicting them with slowness 3")</f>
        <v>DEF: +50000, Fire DEF: +10000, Water DEF: +10000, Storm DEF: +10000, Earth DEF: +10000, Light DEF: +10000, Dark DEF: +10000, Spirit DEF: +10000, Order DEF: +10000, Chaos DEF: +10000, Nature DEF: +10000, Voodoo DEF: +10000, Blood DEF: +10000, Zen DEF: +10000, Astral DEF: +10000, Celestial DEF: +10000 ++Leg Sweep - Strike at an opponent's legs making a hit or miss attack (adding mobility) on hit you knock the opponent to the ground inflicting them with slowness 3</v>
      </c>
      <c r="G617" s="2">
        <f>IFERROR(__xludf.DUMMYFUNCTION("""COMPUTED_VALUE"""),7.98E8)</f>
        <v>798000000</v>
      </c>
      <c r="H617" s="2"/>
      <c r="I617" s="2"/>
      <c r="J617" s="2"/>
      <c r="K617" s="2"/>
      <c r="L617" s="2"/>
      <c r="M617" s="2"/>
      <c r="N617" s="2"/>
      <c r="O617" s="2"/>
      <c r="P617" s="2"/>
      <c r="Q617" s="2"/>
      <c r="R617" s="2"/>
      <c r="S617" s="2"/>
      <c r="T617" s="2"/>
      <c r="U617" s="2"/>
      <c r="V617" s="2"/>
      <c r="W617" s="2"/>
      <c r="X617" s="2"/>
      <c r="Y617" s="2"/>
      <c r="Z617" s="2"/>
    </row>
    <row r="618">
      <c r="A618" s="2" t="str">
        <f>IFERROR(__xludf.DUMMYFUNCTION("""COMPUTED_VALUE"""),"Harbingers' Vow (Spira)")</f>
        <v>Harbingers' Vow (Spira)</v>
      </c>
      <c r="B618" s="2"/>
      <c r="C618" s="2"/>
      <c r="D618" s="2" t="str">
        <f>IFERROR(__xludf.DUMMYFUNCTION("""COMPUTED_VALUE"""),"Finger")</f>
        <v>Finger</v>
      </c>
      <c r="E618" s="2">
        <f>IFERROR(__xludf.DUMMYFUNCTION("""COMPUTED_VALUE"""),1.0)</f>
        <v>1</v>
      </c>
      <c r="F618" s="2" t="str">
        <f>IFERROR(__xludf.DUMMYFUNCTION("""COMPUTED_VALUE""")," ++Pervading Madness - at the start of each of your turns flip a coin with heads being 1 and tails being 2 or roll a d2, gain that many stacks of insanity")</f>
        <v> ++Pervading Madness - at the start of each of your turns flip a coin with heads being 1 and tails being 2 or roll a d2, gain that many stacks of insanity</v>
      </c>
      <c r="G618" s="2">
        <f>IFERROR(__xludf.DUMMYFUNCTION("""COMPUTED_VALUE"""),0.0)</f>
        <v>0</v>
      </c>
      <c r="H618" s="2"/>
      <c r="I618" s="2"/>
      <c r="J618" s="2"/>
      <c r="K618" s="2"/>
      <c r="L618" s="2"/>
      <c r="M618" s="2"/>
      <c r="N618" s="2"/>
      <c r="O618" s="2"/>
      <c r="P618" s="2"/>
      <c r="Q618" s="2"/>
      <c r="R618" s="2"/>
      <c r="S618" s="2"/>
      <c r="T618" s="2"/>
      <c r="U618" s="2"/>
      <c r="V618" s="2"/>
      <c r="W618" s="2"/>
      <c r="X618" s="2"/>
      <c r="Y618" s="2"/>
      <c r="Z618" s="2"/>
    </row>
    <row r="619">
      <c r="A619" s="2" t="str">
        <f>IFERROR(__xludf.DUMMYFUNCTION("""COMPUTED_VALUE"""),"Harbingers' Resolve (Spira)")</f>
        <v>Harbingers' Resolve (Spira)</v>
      </c>
      <c r="B619" s="2"/>
      <c r="C619" s="2"/>
      <c r="D619" s="2" t="str">
        <f>IFERROR(__xludf.DUMMYFUNCTION("""COMPUTED_VALUE"""),"Neck")</f>
        <v>Neck</v>
      </c>
      <c r="E619" s="2">
        <f>IFERROR(__xludf.DUMMYFUNCTION("""COMPUTED_VALUE"""),1.0)</f>
        <v>1</v>
      </c>
      <c r="F619" s="2" t="str">
        <f>IFERROR(__xludf.DUMMYFUNCTION("""COMPUTED_VALUE""")," ++To the Death! - Upon taking lethal damage resist it with 1 hp and gain 10 stacks of insanity (once per battle)")</f>
        <v> ++To the Death! - Upon taking lethal damage resist it with 1 hp and gain 10 stacks of insanity (once per battle)</v>
      </c>
      <c r="G619" s="2">
        <f>IFERROR(__xludf.DUMMYFUNCTION("""COMPUTED_VALUE"""),0.0)</f>
        <v>0</v>
      </c>
      <c r="H619" s="2"/>
      <c r="I619" s="2"/>
      <c r="J619" s="2"/>
      <c r="K619" s="2"/>
      <c r="L619" s="2"/>
      <c r="M619" s="2"/>
      <c r="N619" s="2"/>
      <c r="O619" s="2"/>
      <c r="P619" s="2"/>
      <c r="Q619" s="2"/>
      <c r="R619" s="2"/>
      <c r="S619" s="2"/>
      <c r="T619" s="2"/>
      <c r="U619" s="2"/>
      <c r="V619" s="2"/>
      <c r="W619" s="2"/>
      <c r="X619" s="2"/>
      <c r="Y619" s="2"/>
      <c r="Z619" s="2"/>
    </row>
    <row r="620">
      <c r="A620" s="2" t="str">
        <f>IFERROR(__xludf.DUMMYFUNCTION("""COMPUTED_VALUE"""),"Harbingers' Fist of Iron (Spira)")</f>
        <v>Harbingers' Fist of Iron (Spira)</v>
      </c>
      <c r="B620" s="2"/>
      <c r="C620" s="2" t="str">
        <f>IFERROR(__xludf.DUMMYFUNCTION("""COMPUTED_VALUE"""),"Gauntlet")</f>
        <v>Gauntlet</v>
      </c>
      <c r="D620" s="2" t="str">
        <f>IFERROR(__xludf.DUMMYFUNCTION("""COMPUTED_VALUE"""),"Hand")</f>
        <v>Hand</v>
      </c>
      <c r="E620" s="2">
        <f>IFERROR(__xludf.DUMMYFUNCTION("""COMPUTED_VALUE"""),200.0)</f>
        <v>200</v>
      </c>
      <c r="F620" s="2" t="str">
        <f>IFERROR(__xludf.DUMMYFUNCTION("""COMPUTED_VALUE"""),"DEF: +50000, Celestial DEF: +50000 ++One fist of Iron -  When attacking with this weapon you can choose to attack with the Harbingers' Claw of Steel in the same action. ++Throat Grab - make a hit or miss attack to prevent an enemy from acting on their tur"&amp;"n as long as they remain grappled. To break free from the grapple the enemy must roll evasion to attempt to break free from your grasp at the end of each of your turns. ++20% chance to remove enemy from battle")</f>
        <v>DEF: +50000, Celestial DEF: +50000 ++One fist of Iron -  When attacking with this weapon you can choose to attack with the Harbingers' Claw of Steel in the same action. ++Throat Grab - make a hit or miss attack to prevent an enemy from acting on their turn as long as they remain grappled. To break free from the grapple the enemy must roll evasion to attempt to break free from your grasp at the end of each of your turns. ++20% chance to remove enemy from battle</v>
      </c>
      <c r="G620" s="2">
        <f>IFERROR(__xludf.DUMMYFUNCTION("""COMPUTED_VALUE"""),1.99E8)</f>
        <v>199000000</v>
      </c>
      <c r="H620" s="2"/>
      <c r="I620" s="2"/>
      <c r="J620" s="2"/>
      <c r="K620" s="2"/>
      <c r="L620" s="2"/>
      <c r="M620" s="2"/>
      <c r="N620" s="2"/>
      <c r="O620" s="2"/>
      <c r="P620" s="2"/>
      <c r="Q620" s="2"/>
      <c r="R620" s="2"/>
      <c r="S620" s="2"/>
      <c r="T620" s="2"/>
      <c r="U620" s="2"/>
      <c r="V620" s="2"/>
      <c r="W620" s="2"/>
      <c r="X620" s="2"/>
      <c r="Y620" s="2"/>
      <c r="Z620" s="2"/>
    </row>
    <row r="621">
      <c r="A621" s="2" t="str">
        <f>IFERROR(__xludf.DUMMYFUNCTION("""COMPUTED_VALUE"""),"Harbingers' Claw of Steel (Spira)")</f>
        <v>Harbingers' Claw of Steel (Spira)</v>
      </c>
      <c r="B621" s="2"/>
      <c r="C621" s="2" t="str">
        <f>IFERROR(__xludf.DUMMYFUNCTION("""COMPUTED_VALUE"""),"Claw")</f>
        <v>Claw</v>
      </c>
      <c r="D621" s="2" t="str">
        <f>IFERROR(__xludf.DUMMYFUNCTION("""COMPUTED_VALUE"""),"Hand")</f>
        <v>Hand</v>
      </c>
      <c r="E621" s="2">
        <f>IFERROR(__xludf.DUMMYFUNCTION("""COMPUTED_VALUE"""),200.0)</f>
        <v>200</v>
      </c>
      <c r="F621" s="2" t="str">
        <f>IFERROR(__xludf.DUMMYFUNCTION("""COMPUTED_VALUE"""),"DMG: +50000, Delta DMG: +25000, Celestial DMG: +25000 ++And Another of Steel - When attacking with this weapon you can choose to attack with the Harbingers' Fist of Iron in the same action. ++Elemental Rend - inflicts 1000 damage per round of each element"&amp;" (Excluding Acoustic, Zen, Time, Physical, Melee, and Ranged) when attacking an enemy ++Maddening Blows - targeting an enemy with this weapon inflicts you with 1 stack of insanity")</f>
        <v>DMG: +50000, Delta DMG: +25000, Celestial DMG: +25000 ++And Another of Steel - When attacking with this weapon you can choose to attack with the Harbingers' Fist of Iron in the same action. ++Elemental Rend - inflicts 1000 damage per round of each element (Excluding Acoustic, Zen, Time, Physical, Melee, and Ranged) when attacking an enemy ++Maddening Blows - targeting an enemy with this weapon inflicts you with 1 stack of insanity</v>
      </c>
      <c r="G621" s="2">
        <f>IFERROR(__xludf.DUMMYFUNCTION("""COMPUTED_VALUE"""),1.99E8)</f>
        <v>199000000</v>
      </c>
      <c r="H621" s="2"/>
      <c r="I621" s="2"/>
      <c r="J621" s="2"/>
      <c r="K621" s="2"/>
      <c r="L621" s="2"/>
      <c r="M621" s="2"/>
      <c r="N621" s="2"/>
      <c r="O621" s="2"/>
      <c r="P621" s="2"/>
      <c r="Q621" s="2"/>
      <c r="R621" s="2"/>
      <c r="S621" s="2"/>
      <c r="T621" s="2"/>
      <c r="U621" s="2"/>
      <c r="V621" s="2"/>
      <c r="W621" s="2"/>
      <c r="X621" s="2"/>
      <c r="Y621" s="2"/>
      <c r="Z621" s="2"/>
    </row>
    <row r="622">
      <c r="A622" s="2" t="str">
        <f>IFERROR(__xludf.DUMMYFUNCTION("""COMPUTED_VALUE"""),"Eagles Claw")</f>
        <v>Eagles Claw</v>
      </c>
      <c r="B622" s="2"/>
      <c r="C622" s="2" t="str">
        <f>IFERROR(__xludf.DUMMYFUNCTION("""COMPUTED_VALUE"""),"Claw")</f>
        <v>Claw</v>
      </c>
      <c r="D622" s="2" t="str">
        <f>IFERROR(__xludf.DUMMYFUNCTION("""COMPUTED_VALUE"""),"Hand")</f>
        <v>Hand</v>
      </c>
      <c r="E622" s="2">
        <f>IFERROR(__xludf.DUMMYFUNCTION("""COMPUTED_VALUE"""),200.0)</f>
        <v>200</v>
      </c>
      <c r="F622" s="2" t="str">
        <f>IFERROR(__xludf.DUMMYFUNCTION("""COMPUTED_VALUE"""),"DMG: +10000 ++Eagles Removal - 20% Chance to remove the target from battle. ")</f>
        <v>DMG: +10000 ++Eagles Removal - 20% Chance to remove the target from battle. </v>
      </c>
      <c r="G622" s="2">
        <f>IFERROR(__xludf.DUMMYFUNCTION("""COMPUTED_VALUE"""),1900000.0)</f>
        <v>1900000</v>
      </c>
      <c r="H622" s="2"/>
      <c r="I622" s="2"/>
      <c r="J622" s="2"/>
      <c r="K622" s="2"/>
      <c r="L622" s="2"/>
      <c r="M622" s="2"/>
      <c r="N622" s="2"/>
      <c r="O622" s="2"/>
      <c r="P622" s="2"/>
      <c r="Q622" s="2"/>
      <c r="R622" s="2"/>
      <c r="S622" s="2"/>
      <c r="T622" s="2"/>
      <c r="U622" s="2"/>
      <c r="V622" s="2"/>
      <c r="W622" s="2"/>
      <c r="X622" s="2"/>
      <c r="Y622" s="2"/>
      <c r="Z622" s="2"/>
    </row>
    <row r="623">
      <c r="A623" s="2" t="str">
        <f>IFERROR(__xludf.DUMMYFUNCTION("""COMPUTED_VALUE"""),"Golden Gauntlet")</f>
        <v>Golden Gauntlet</v>
      </c>
      <c r="B623" s="2"/>
      <c r="C623" s="2" t="str">
        <f>IFERROR(__xludf.DUMMYFUNCTION("""COMPUTED_VALUE"""),"Gauntlet")</f>
        <v>Gauntlet</v>
      </c>
      <c r="D623" s="2" t="str">
        <f>IFERROR(__xludf.DUMMYFUNCTION("""COMPUTED_VALUE"""),"Hand")</f>
        <v>Hand</v>
      </c>
      <c r="E623" s="2">
        <f>IFERROR(__xludf.DUMMYFUNCTION("""COMPUTED_VALUE"""),200.0)</f>
        <v>200</v>
      </c>
      <c r="F623" s="2" t="str">
        <f>IFERROR(__xludf.DUMMYFUNCTION("""COMPUTED_VALUE"""),"DMG: +5000, Light DMG: +2500, Order DMG: +2500")</f>
        <v>DMG: +5000, Light DMG: +2500, Order DMG: +2500</v>
      </c>
      <c r="G623" s="2">
        <f>IFERROR(__xludf.DUMMYFUNCTION("""COMPUTED_VALUE"""),1900000.0)</f>
        <v>1900000</v>
      </c>
      <c r="H623" s="2"/>
      <c r="I623" s="2"/>
      <c r="J623" s="2"/>
      <c r="K623" s="2"/>
      <c r="L623" s="2"/>
      <c r="M623" s="2"/>
      <c r="N623" s="2"/>
      <c r="O623" s="2"/>
      <c r="P623" s="2"/>
      <c r="Q623" s="2"/>
      <c r="R623" s="2"/>
      <c r="S623" s="2"/>
      <c r="T623" s="2"/>
      <c r="U623" s="2"/>
      <c r="V623" s="2"/>
      <c r="W623" s="2"/>
      <c r="X623" s="2"/>
      <c r="Y623" s="2"/>
      <c r="Z623" s="2"/>
    </row>
    <row r="624">
      <c r="A624" s="2" t="str">
        <f>IFERROR(__xludf.DUMMYFUNCTION("""COMPUTED_VALUE"""),"Hand Crossbow")</f>
        <v>Hand Crossbow</v>
      </c>
      <c r="B624" s="2"/>
      <c r="C624" s="2" t="str">
        <f>IFERROR(__xludf.DUMMYFUNCTION("""COMPUTED_VALUE"""),"Bow")</f>
        <v>Bow</v>
      </c>
      <c r="D624" s="2" t="str">
        <f>IFERROR(__xludf.DUMMYFUNCTION("""COMPUTED_VALUE"""),"Hand")</f>
        <v>Hand</v>
      </c>
      <c r="E624" s="2">
        <f>IFERROR(__xludf.DUMMYFUNCTION("""COMPUTED_VALUE"""),200.0)</f>
        <v>200</v>
      </c>
      <c r="F624" s="2" t="str">
        <f>IFERROR(__xludf.DUMMYFUNCTION("""COMPUTED_VALUE"""),"DMG: +10000")</f>
        <v>DMG: +10000</v>
      </c>
      <c r="G624" s="2">
        <f>IFERROR(__xludf.DUMMYFUNCTION("""COMPUTED_VALUE"""),1900000.0)</f>
        <v>1900000</v>
      </c>
      <c r="H624" s="2"/>
      <c r="I624" s="2"/>
      <c r="J624" s="2"/>
      <c r="K624" s="2"/>
      <c r="L624" s="2"/>
      <c r="M624" s="2"/>
      <c r="N624" s="2"/>
      <c r="O624" s="2"/>
      <c r="P624" s="2"/>
      <c r="Q624" s="2"/>
      <c r="R624" s="2"/>
      <c r="S624" s="2"/>
      <c r="T624" s="2"/>
      <c r="U624" s="2"/>
      <c r="V624" s="2"/>
      <c r="W624" s="2"/>
      <c r="X624" s="2"/>
      <c r="Y624" s="2"/>
      <c r="Z624" s="2"/>
    </row>
    <row r="625">
      <c r="A625" s="2" t="str">
        <f>IFERROR(__xludf.DUMMYFUNCTION("""COMPUTED_VALUE"""),"Flintlock Pistol")</f>
        <v>Flintlock Pistol</v>
      </c>
      <c r="B625" s="2"/>
      <c r="C625" s="2" t="str">
        <f>IFERROR(__xludf.DUMMYFUNCTION("""COMPUTED_VALUE"""),"Firearm")</f>
        <v>Firearm</v>
      </c>
      <c r="D625" s="2" t="str">
        <f>IFERROR(__xludf.DUMMYFUNCTION("""COMPUTED_VALUE"""),"Hand")</f>
        <v>Hand</v>
      </c>
      <c r="E625" s="2">
        <f>IFERROR(__xludf.DUMMYFUNCTION("""COMPUTED_VALUE"""),200.0)</f>
        <v>200</v>
      </c>
      <c r="F625" s="2" t="str">
        <f>IFERROR(__xludf.DUMMYFUNCTION("""COMPUTED_VALUE"""),"DMG: +10000")</f>
        <v>DMG: +10000</v>
      </c>
      <c r="G625" s="2">
        <f>IFERROR(__xludf.DUMMYFUNCTION("""COMPUTED_VALUE"""),1900000.0)</f>
        <v>1900000</v>
      </c>
      <c r="H625" s="2"/>
      <c r="I625" s="2"/>
      <c r="J625" s="2"/>
      <c r="K625" s="2"/>
      <c r="L625" s="2"/>
      <c r="M625" s="2"/>
      <c r="N625" s="2"/>
      <c r="O625" s="2"/>
      <c r="P625" s="2"/>
      <c r="Q625" s="2"/>
      <c r="R625" s="2"/>
      <c r="S625" s="2"/>
      <c r="T625" s="2"/>
      <c r="U625" s="2"/>
      <c r="V625" s="2"/>
      <c r="W625" s="2"/>
      <c r="X625" s="2"/>
      <c r="Y625" s="2"/>
      <c r="Z625" s="2"/>
    </row>
    <row r="626">
      <c r="A626" s="2" t="str">
        <f>IFERROR(__xludf.DUMMYFUNCTION("""COMPUTED_VALUE"""),"Head of Gévaudan")</f>
        <v>Head of Gévaudan</v>
      </c>
      <c r="B626" s="2"/>
      <c r="C626" s="2"/>
      <c r="D626" s="2" t="str">
        <f>IFERROR(__xludf.DUMMYFUNCTION("""COMPUTED_VALUE"""),"Head")</f>
        <v>Head</v>
      </c>
      <c r="E626" s="2">
        <f>IFERROR(__xludf.DUMMYFUNCTION("""COMPUTED_VALUE"""),200.0)</f>
        <v>200</v>
      </c>
      <c r="F626" s="2" t="str">
        <f>IFERROR(__xludf.DUMMYFUNCTION("""COMPUTED_VALUE"""),"DEF: +10000 ++ +5 to intimidation, ++Soul Shake: Allows to cast ""Shaken Soul""")</f>
        <v>DEF: +10000 ++ +5 to intimidation, ++Soul Shake: Allows to cast "Shaken Soul"</v>
      </c>
      <c r="G626" s="2">
        <f>IFERROR(__xludf.DUMMYFUNCTION("""COMPUTED_VALUE"""),1900000.0)</f>
        <v>1900000</v>
      </c>
      <c r="H626" s="2"/>
      <c r="I626" s="2"/>
      <c r="J626" s="2"/>
      <c r="K626" s="2"/>
      <c r="L626" s="2"/>
      <c r="M626" s="2"/>
      <c r="N626" s="2"/>
      <c r="O626" s="2"/>
      <c r="P626" s="2"/>
      <c r="Q626" s="2"/>
      <c r="R626" s="2"/>
      <c r="S626" s="2"/>
      <c r="T626" s="2"/>
      <c r="U626" s="2"/>
      <c r="V626" s="2"/>
      <c r="W626" s="2"/>
      <c r="X626" s="2"/>
      <c r="Y626" s="2"/>
      <c r="Z626" s="2"/>
    </row>
    <row r="627">
      <c r="A627" s="2" t="str">
        <f>IFERROR(__xludf.DUMMYFUNCTION("""COMPUTED_VALUE"""),"Phantasmal Scythe")</f>
        <v>Phantasmal Scythe</v>
      </c>
      <c r="B627" s="2"/>
      <c r="C627" s="2" t="str">
        <f>IFERROR(__xludf.DUMMYFUNCTION("""COMPUTED_VALUE"""),"Scythe")</f>
        <v>Scythe</v>
      </c>
      <c r="D627" s="2" t="str">
        <f>IFERROR(__xludf.DUMMYFUNCTION("""COMPUTED_VALUE"""),"Hand")</f>
        <v>Hand</v>
      </c>
      <c r="E627" s="2">
        <f>IFERROR(__xludf.DUMMYFUNCTION("""COMPUTED_VALUE"""),1000.0)</f>
        <v>1000</v>
      </c>
      <c r="F627" s="2" t="str">
        <f>IFERROR(__xludf.DUMMYFUNCTION("""COMPUTED_VALUE"""),", Spirit DMG: +50000")</f>
        <v>, Spirit DMG: +50000</v>
      </c>
      <c r="G627" s="2">
        <f>IFERROR(__xludf.DUMMYFUNCTION("""COMPUTED_VALUE"""),4.95E7)</f>
        <v>49500000</v>
      </c>
      <c r="H627" s="2"/>
      <c r="I627" s="2"/>
      <c r="J627" s="2"/>
      <c r="K627" s="2"/>
      <c r="L627" s="2"/>
      <c r="M627" s="2"/>
      <c r="N627" s="2"/>
      <c r="O627" s="2"/>
      <c r="P627" s="2"/>
      <c r="Q627" s="2"/>
      <c r="R627" s="2"/>
      <c r="S627" s="2"/>
      <c r="T627" s="2"/>
      <c r="U627" s="2"/>
      <c r="V627" s="2"/>
      <c r="W627" s="2"/>
      <c r="X627" s="2"/>
      <c r="Y627" s="2"/>
      <c r="Z627" s="2"/>
    </row>
    <row r="628">
      <c r="A628" s="2" t="str">
        <f>IFERROR(__xludf.DUMMYFUNCTION("""COMPUTED_VALUE"""),"Piranha Tooth Dagger")</f>
        <v>Piranha Tooth Dagger</v>
      </c>
      <c r="B628" s="2"/>
      <c r="C628" s="2" t="str">
        <f>IFERROR(__xludf.DUMMYFUNCTION("""COMPUTED_VALUE"""),"Knife")</f>
        <v>Knife</v>
      </c>
      <c r="D628" s="2" t="str">
        <f>IFERROR(__xludf.DUMMYFUNCTION("""COMPUTED_VALUE"""),"Hand")</f>
        <v>Hand</v>
      </c>
      <c r="E628" s="2">
        <f>IFERROR(__xludf.DUMMYFUNCTION("""COMPUTED_VALUE"""),10.0)</f>
        <v>10</v>
      </c>
      <c r="F628" s="2" t="str">
        <f>IFERROR(__xludf.DUMMYFUNCTION("""COMPUTED_VALUE"""),"DMG: +500 ++Increases damage by X2 for every time you hit an enemy with this weapon during a single battle (Goes back to normal damage after battle)")</f>
        <v>DMG: +500 ++Increases damage by X2 for every time you hit an enemy with this weapon during a single battle (Goes back to normal damage after battle)</v>
      </c>
      <c r="G628" s="2">
        <f>IFERROR(__xludf.DUMMYFUNCTION("""COMPUTED_VALUE"""),1000.0)</f>
        <v>1000</v>
      </c>
      <c r="H628" s="2"/>
      <c r="I628" s="2"/>
      <c r="J628" s="2"/>
      <c r="K628" s="2"/>
      <c r="L628" s="2"/>
      <c r="M628" s="2"/>
      <c r="N628" s="2"/>
      <c r="O628" s="2"/>
      <c r="P628" s="2"/>
      <c r="Q628" s="2"/>
      <c r="R628" s="2"/>
      <c r="S628" s="2"/>
      <c r="T628" s="2"/>
      <c r="U628" s="2"/>
      <c r="V628" s="2"/>
      <c r="W628" s="2"/>
      <c r="X628" s="2"/>
      <c r="Y628" s="2"/>
      <c r="Z628" s="2"/>
    </row>
    <row r="629">
      <c r="A629" s="2" t="str">
        <f>IFERROR(__xludf.DUMMYFUNCTION("""COMPUTED_VALUE"""),"Rhino Horn Spear")</f>
        <v>Rhino Horn Spear</v>
      </c>
      <c r="B629" s="2"/>
      <c r="C629" s="2" t="str">
        <f>IFERROR(__xludf.DUMMYFUNCTION("""COMPUTED_VALUE"""),"Spear")</f>
        <v>Spear</v>
      </c>
      <c r="D629" s="2" t="str">
        <f>IFERROR(__xludf.DUMMYFUNCTION("""COMPUTED_VALUE"""),"Hand")</f>
        <v>Hand</v>
      </c>
      <c r="E629" s="2">
        <f>IFERROR(__xludf.DUMMYFUNCTION("""COMPUTED_VALUE"""),200.0)</f>
        <v>200</v>
      </c>
      <c r="F629" s="2" t="str">
        <f>IFERROR(__xludf.DUMMYFUNCTION("""COMPUTED_VALUE"""),"DMG: +10000 ++Charge - The first attack made with this weapon deals X2 damage")</f>
        <v>DMG: +10000 ++Charge - The first attack made with this weapon deals X2 damage</v>
      </c>
      <c r="G629" s="2">
        <f>IFERROR(__xludf.DUMMYFUNCTION("""COMPUTED_VALUE"""),1900000.0)</f>
        <v>1900000</v>
      </c>
      <c r="H629" s="2"/>
      <c r="I629" s="2"/>
      <c r="J629" s="2"/>
      <c r="K629" s="2"/>
      <c r="L629" s="2"/>
      <c r="M629" s="2"/>
      <c r="N629" s="2"/>
      <c r="O629" s="2"/>
      <c r="P629" s="2"/>
      <c r="Q629" s="2"/>
      <c r="R629" s="2"/>
      <c r="S629" s="2"/>
      <c r="T629" s="2"/>
      <c r="U629" s="2"/>
      <c r="V629" s="2"/>
      <c r="W629" s="2"/>
      <c r="X629" s="2"/>
      <c r="Y629" s="2"/>
      <c r="Z629" s="2"/>
    </row>
    <row r="630">
      <c r="A630" s="2" t="str">
        <f>IFERROR(__xludf.DUMMYFUNCTION("""COMPUTED_VALUE"""),"Rock Axe")</f>
        <v>Rock Axe</v>
      </c>
      <c r="B630" s="2"/>
      <c r="C630" s="2" t="str">
        <f>IFERROR(__xludf.DUMMYFUNCTION("""COMPUTED_VALUE"""),"Axe")</f>
        <v>Axe</v>
      </c>
      <c r="D630" s="2" t="str">
        <f>IFERROR(__xludf.DUMMYFUNCTION("""COMPUTED_VALUE"""),"Hand")</f>
        <v>Hand</v>
      </c>
      <c r="E630" s="2">
        <f>IFERROR(__xludf.DUMMYFUNCTION("""COMPUTED_VALUE"""),40.0)</f>
        <v>40</v>
      </c>
      <c r="F630" s="2" t="str">
        <f>IFERROR(__xludf.DUMMYFUNCTION("""COMPUTED_VALUE"""),"DMG: +1000, Earth DMG: +1000")</f>
        <v>DMG: +1000, Earth DMG: +1000</v>
      </c>
      <c r="G630" s="2">
        <f>IFERROR(__xludf.DUMMYFUNCTION("""COMPUTED_VALUE"""),60000.0)</f>
        <v>60000</v>
      </c>
      <c r="H630" s="2"/>
      <c r="I630" s="2"/>
      <c r="J630" s="2"/>
      <c r="K630" s="2"/>
      <c r="L630" s="2"/>
      <c r="M630" s="2"/>
      <c r="N630" s="2"/>
      <c r="O630" s="2"/>
      <c r="P630" s="2"/>
      <c r="Q630" s="2"/>
      <c r="R630" s="2"/>
      <c r="S630" s="2"/>
      <c r="T630" s="2"/>
      <c r="U630" s="2"/>
      <c r="V630" s="2"/>
      <c r="W630" s="2"/>
      <c r="X630" s="2"/>
      <c r="Y630" s="2"/>
      <c r="Z630" s="2"/>
    </row>
    <row r="631">
      <c r="A631" s="2" t="str">
        <f>IFERROR(__xludf.DUMMYFUNCTION("""COMPUTED_VALUE"""),"Saber Tooth")</f>
        <v>Saber Tooth</v>
      </c>
      <c r="B631" s="2"/>
      <c r="C631" s="2" t="str">
        <f>IFERROR(__xludf.DUMMYFUNCTION("""COMPUTED_VALUE"""),"Knife")</f>
        <v>Knife</v>
      </c>
      <c r="D631" s="2" t="str">
        <f>IFERROR(__xludf.DUMMYFUNCTION("""COMPUTED_VALUE"""),"Hand")</f>
        <v>Hand</v>
      </c>
      <c r="E631" s="2">
        <f>IFERROR(__xludf.DUMMYFUNCTION("""COMPUTED_VALUE"""),200.0)</f>
        <v>200</v>
      </c>
      <c r="F631" s="2" t="str">
        <f>IFERROR(__xludf.DUMMYFUNCTION("""COMPUTED_VALUE"""),"DMG: +10000")</f>
        <v>DMG: +10000</v>
      </c>
      <c r="G631" s="2">
        <f>IFERROR(__xludf.DUMMYFUNCTION("""COMPUTED_VALUE"""),1900000.0)</f>
        <v>1900000</v>
      </c>
      <c r="H631" s="2"/>
      <c r="I631" s="2"/>
      <c r="J631" s="2"/>
      <c r="K631" s="2"/>
      <c r="L631" s="2"/>
      <c r="M631" s="2"/>
      <c r="N631" s="2"/>
      <c r="O631" s="2"/>
      <c r="P631" s="2"/>
      <c r="Q631" s="2"/>
      <c r="R631" s="2"/>
      <c r="S631" s="2"/>
      <c r="T631" s="2"/>
      <c r="U631" s="2"/>
      <c r="V631" s="2"/>
      <c r="W631" s="2"/>
      <c r="X631" s="2"/>
      <c r="Y631" s="2"/>
      <c r="Z631" s="2"/>
    </row>
    <row r="632">
      <c r="A632" s="2" t="str">
        <f>IFERROR(__xludf.DUMMYFUNCTION("""COMPUTED_VALUE"""),"Worm Tooth Chainsaw")</f>
        <v>Worm Tooth Chainsaw</v>
      </c>
      <c r="B632" s="2"/>
      <c r="C632" s="2" t="str">
        <f>IFERROR(__xludf.DUMMYFUNCTION("""COMPUTED_VALUE"""),"Axe")</f>
        <v>Axe</v>
      </c>
      <c r="D632" s="2" t="str">
        <f>IFERROR(__xludf.DUMMYFUNCTION("""COMPUTED_VALUE"""),"Hand")</f>
        <v>Hand</v>
      </c>
      <c r="E632" s="2">
        <f>IFERROR(__xludf.DUMMYFUNCTION("""COMPUTED_VALUE"""),1200.0)</f>
        <v>1200</v>
      </c>
      <c r="F632" s="2" t="str">
        <f>IFERROR(__xludf.DUMMYFUNCTION("""COMPUTED_VALUE"""),"DMG: +50000, Blood DMG: +10000 ++Spinning Chain - Make a hit or miss attack (Adding Mobility) on hit set an enemies defense to 0 for 1 round 500 sp")</f>
        <v>DMG: +50000, Blood DMG: +10000 ++Spinning Chain - Make a hit or miss attack (Adding Mobility) on hit set an enemies defense to 0 for 1 round 500 sp</v>
      </c>
      <c r="G632" s="2">
        <f>IFERROR(__xludf.DUMMYFUNCTION("""COMPUTED_VALUE"""),7.14E7)</f>
        <v>71400000</v>
      </c>
      <c r="H632" s="2"/>
      <c r="I632" s="2"/>
      <c r="J632" s="2"/>
      <c r="K632" s="2"/>
      <c r="L632" s="2"/>
      <c r="M632" s="2"/>
      <c r="N632" s="2"/>
      <c r="O632" s="2"/>
      <c r="P632" s="2"/>
      <c r="Q632" s="2"/>
      <c r="R632" s="2"/>
      <c r="S632" s="2"/>
      <c r="T632" s="2"/>
      <c r="U632" s="2"/>
      <c r="V632" s="2"/>
      <c r="W632" s="2"/>
      <c r="X632" s="2"/>
      <c r="Y632" s="2"/>
      <c r="Z632" s="2"/>
    </row>
    <row r="633">
      <c r="A633" s="2" t="str">
        <f>IFERROR(__xludf.DUMMYFUNCTION("""COMPUTED_VALUE"""),"Shark Tooth Greatclub")</f>
        <v>Shark Tooth Greatclub</v>
      </c>
      <c r="B633" s="2"/>
      <c r="C633" s="2" t="str">
        <f>IFERROR(__xludf.DUMMYFUNCTION("""COMPUTED_VALUE"""),"Club")</f>
        <v>Club</v>
      </c>
      <c r="D633" s="2" t="str">
        <f>IFERROR(__xludf.DUMMYFUNCTION("""COMPUTED_VALUE"""),"Hand")</f>
        <v>Hand</v>
      </c>
      <c r="E633" s="2">
        <f>IFERROR(__xludf.DUMMYFUNCTION("""COMPUTED_VALUE"""),500.0)</f>
        <v>500</v>
      </c>
      <c r="F633" s="2" t="str">
        <f>IFERROR(__xludf.DUMMYFUNCTION("""COMPUTED_VALUE"""),"DMG: +25000 ++Abrasive Blow - hitting an enemy with this weapon causes them to be Injured graveky inflicting them with slowness until healed by any means.")</f>
        <v>DMG: +25000 ++Abrasive Blow - hitting an enemy with this weapon causes them to be Injured graveky inflicting them with slowness until healed by any means.</v>
      </c>
      <c r="G633" s="2">
        <f>IFERROR(__xludf.DUMMYFUNCTION("""COMPUTED_VALUE"""),1.225E7)</f>
        <v>12250000</v>
      </c>
      <c r="H633" s="2"/>
      <c r="I633" s="2"/>
      <c r="J633" s="2"/>
      <c r="K633" s="2"/>
      <c r="L633" s="2"/>
      <c r="M633" s="2"/>
      <c r="N633" s="2"/>
      <c r="O633" s="2"/>
      <c r="P633" s="2"/>
      <c r="Q633" s="2"/>
      <c r="R633" s="2"/>
      <c r="S633" s="2"/>
      <c r="T633" s="2"/>
      <c r="U633" s="2"/>
      <c r="V633" s="2"/>
      <c r="W633" s="2"/>
      <c r="X633" s="2"/>
      <c r="Y633" s="2"/>
      <c r="Z633" s="2"/>
    </row>
    <row r="634">
      <c r="A634" s="2" t="str">
        <f>IFERROR(__xludf.DUMMYFUNCTION("""COMPUTED_VALUE"""),"Sticky Slime Guantlets")</f>
        <v>Sticky Slime Guantlets</v>
      </c>
      <c r="B634" s="2"/>
      <c r="C634" s="2" t="str">
        <f>IFERROR(__xludf.DUMMYFUNCTION("""COMPUTED_VALUE"""),"Gauntlet")</f>
        <v>Gauntlet</v>
      </c>
      <c r="D634" s="2" t="str">
        <f>IFERROR(__xludf.DUMMYFUNCTION("""COMPUTED_VALUE"""),"Hand")</f>
        <v>Hand</v>
      </c>
      <c r="E634" s="2">
        <f>IFERROR(__xludf.DUMMYFUNCTION("""COMPUTED_VALUE"""),400.0)</f>
        <v>400</v>
      </c>
      <c r="F634" s="2" t="str">
        <f>IFERROR(__xludf.DUMMYFUNCTION("""COMPUTED_VALUE"""),"DEF: +20000 ++Slimey Grasp - When these gloves are equipped the natural power ""take"" Is guaranteed to succeed.")</f>
        <v>DEF: +20000 ++Slimey Grasp - When these gloves are equipped the natural power "take" Is guaranteed to succeed.</v>
      </c>
      <c r="G634" s="2">
        <f>IFERROR(__xludf.DUMMYFUNCTION("""COMPUTED_VALUE"""),7800000.0)</f>
        <v>7800000</v>
      </c>
      <c r="H634" s="2"/>
      <c r="I634" s="2"/>
      <c r="J634" s="2"/>
      <c r="K634" s="2"/>
      <c r="L634" s="2"/>
      <c r="M634" s="2"/>
      <c r="N634" s="2"/>
      <c r="O634" s="2"/>
      <c r="P634" s="2"/>
      <c r="Q634" s="2"/>
      <c r="R634" s="2"/>
      <c r="S634" s="2"/>
      <c r="T634" s="2"/>
      <c r="U634" s="2"/>
      <c r="V634" s="2"/>
      <c r="W634" s="2"/>
      <c r="X634" s="2"/>
      <c r="Y634" s="2"/>
      <c r="Z634" s="2"/>
    </row>
    <row r="635">
      <c r="A635" s="2" t="str">
        <f>IFERROR(__xludf.DUMMYFUNCTION("""COMPUTED_VALUE"""),"Draconic Scythe")</f>
        <v>Draconic Scythe</v>
      </c>
      <c r="B635" s="2"/>
      <c r="C635" s="2" t="str">
        <f>IFERROR(__xludf.DUMMYFUNCTION("""COMPUTED_VALUE"""),"Scythe")</f>
        <v>Scythe</v>
      </c>
      <c r="D635" s="2" t="str">
        <f>IFERROR(__xludf.DUMMYFUNCTION("""COMPUTED_VALUE"""),"Hand")</f>
        <v>Hand</v>
      </c>
      <c r="E635" s="2">
        <f>IFERROR(__xludf.DUMMYFUNCTION("""COMPUTED_VALUE"""),2000.0)</f>
        <v>2000</v>
      </c>
      <c r="F635" s="2" t="str">
        <f>IFERROR(__xludf.DUMMYFUNCTION("""COMPUTED_VALUE"""),", Spirit DMG: +100000 ++Draconic Soul - When Fighting alongside any draconic allies (including Dragon companions or Dragonians) or if the wielder itself is draconic this weapon deals an additional X5 damage")</f>
        <v>, Spirit DMG: +100000 ++Draconic Soul - When Fighting alongside any draconic allies (including Dragon companions or Dragonians) or if the wielder itself is draconic this weapon deals an additional X5 damage</v>
      </c>
      <c r="G635" s="2">
        <f>IFERROR(__xludf.DUMMYFUNCTION("""COMPUTED_VALUE"""),1.99E8)</f>
        <v>199000000</v>
      </c>
      <c r="H635" s="2"/>
      <c r="I635" s="2"/>
      <c r="J635" s="2"/>
      <c r="K635" s="2"/>
      <c r="L635" s="2"/>
      <c r="M635" s="2"/>
      <c r="N635" s="2"/>
      <c r="O635" s="2"/>
      <c r="P635" s="2"/>
      <c r="Q635" s="2"/>
      <c r="R635" s="2"/>
      <c r="S635" s="2"/>
      <c r="T635" s="2"/>
      <c r="U635" s="2"/>
      <c r="V635" s="2"/>
      <c r="W635" s="2"/>
      <c r="X635" s="2"/>
      <c r="Y635" s="2"/>
      <c r="Z635" s="2"/>
    </row>
    <row r="636">
      <c r="A636" s="2" t="str">
        <f>IFERROR(__xludf.DUMMYFUNCTION("""COMPUTED_VALUE"""),"Elemental Scythe")</f>
        <v>Elemental Scythe</v>
      </c>
      <c r="B636" s="2"/>
      <c r="C636" s="2" t="str">
        <f>IFERROR(__xludf.DUMMYFUNCTION("""COMPUTED_VALUE"""),"Scythe")</f>
        <v>Scythe</v>
      </c>
      <c r="D636" s="2" t="str">
        <f>IFERROR(__xludf.DUMMYFUNCTION("""COMPUTED_VALUE"""),"Hand")</f>
        <v>Hand</v>
      </c>
      <c r="E636" s="2">
        <f>IFERROR(__xludf.DUMMYFUNCTION("""COMPUTED_VALUE"""),2000.0)</f>
        <v>2000</v>
      </c>
      <c r="F636" s="2" t="str">
        <f>IFERROR(__xludf.DUMMYFUNCTION("""COMPUTED_VALUE"""),", Fire DMG: +20000, Physical DMG: +20000, Water DMG: +20000, Storm DMG: +20000, Earth DMG: +20000 ++This scythe is unnaffected by Immunities to fire, earth, nature, water, or storm.")</f>
        <v>, Fire DMG: +20000, Physical DMG: +20000, Water DMG: +20000, Storm DMG: +20000, Earth DMG: +20000 ++This scythe is unnaffected by Immunities to fire, earth, nature, water, or storm.</v>
      </c>
      <c r="G636" s="2">
        <f>IFERROR(__xludf.DUMMYFUNCTION("""COMPUTED_VALUE"""),1.99E8)</f>
        <v>199000000</v>
      </c>
      <c r="H636" s="2"/>
      <c r="I636" s="2"/>
      <c r="J636" s="2"/>
      <c r="K636" s="2"/>
      <c r="L636" s="2"/>
      <c r="M636" s="2"/>
      <c r="N636" s="2"/>
      <c r="O636" s="2"/>
      <c r="P636" s="2"/>
      <c r="Q636" s="2"/>
      <c r="R636" s="2"/>
      <c r="S636" s="2"/>
      <c r="T636" s="2"/>
      <c r="U636" s="2"/>
      <c r="V636" s="2"/>
      <c r="W636" s="2"/>
      <c r="X636" s="2"/>
      <c r="Y636" s="2"/>
      <c r="Z636" s="2"/>
    </row>
    <row r="637">
      <c r="A637" s="2" t="str">
        <f>IFERROR(__xludf.DUMMYFUNCTION("""COMPUTED_VALUE"""),"Staff of the Elemental King of Water")</f>
        <v>Staff of the Elemental King of Water</v>
      </c>
      <c r="B637" s="2"/>
      <c r="C637" s="2" t="str">
        <f>IFERROR(__xludf.DUMMYFUNCTION("""COMPUTED_VALUE"""),"Staff")</f>
        <v>Staff</v>
      </c>
      <c r="D637" s="2" t="str">
        <f>IFERROR(__xludf.DUMMYFUNCTION("""COMPUTED_VALUE"""),"Hand")</f>
        <v>Hand</v>
      </c>
      <c r="E637" s="2">
        <f>IFERROR(__xludf.DUMMYFUNCTION("""COMPUTED_VALUE"""),1000.0)</f>
        <v>1000</v>
      </c>
      <c r="F637" s="2" t="str">
        <f>IFERROR(__xludf.DUMMYFUNCTION("""COMPUTED_VALUE"""),", Water DMG: +50000 ++Summoned Water Elementals deal 5X water damage")</f>
        <v>, Water DMG: +50000 ++Summoned Water Elementals deal 5X water damage</v>
      </c>
      <c r="G637" s="2">
        <f>IFERROR(__xludf.DUMMYFUNCTION("""COMPUTED_VALUE"""),4.95E7)</f>
        <v>49500000</v>
      </c>
      <c r="H637" s="2"/>
      <c r="I637" s="2"/>
      <c r="J637" s="2"/>
      <c r="K637" s="2"/>
      <c r="L637" s="2"/>
      <c r="M637" s="2"/>
      <c r="N637" s="2"/>
      <c r="O637" s="2"/>
      <c r="P637" s="2"/>
      <c r="Q637" s="2"/>
      <c r="R637" s="2"/>
      <c r="S637" s="2"/>
      <c r="T637" s="2"/>
      <c r="U637" s="2"/>
      <c r="V637" s="2"/>
      <c r="W637" s="2"/>
      <c r="X637" s="2"/>
      <c r="Y637" s="2"/>
      <c r="Z637" s="2"/>
    </row>
    <row r="638">
      <c r="A638" s="2" t="str">
        <f>IFERROR(__xludf.DUMMYFUNCTION("""COMPUTED_VALUE"""),"Bashe's Tail")</f>
        <v>Bashe's Tail</v>
      </c>
      <c r="B638" s="2"/>
      <c r="C638" s="2"/>
      <c r="D638" s="2" t="str">
        <f>IFERROR(__xludf.DUMMYFUNCTION("""COMPUTED_VALUE"""),"Legs")</f>
        <v>Legs</v>
      </c>
      <c r="E638" s="2">
        <f>IFERROR(__xludf.DUMMYFUNCTION("""COMPUTED_VALUE"""),800.0)</f>
        <v>800</v>
      </c>
      <c r="F638" s="2" t="str">
        <f>IFERROR(__xludf.DUMMYFUNCTION("""COMPUTED_VALUE"""),"DEF: +40000 ++Smash - Allows you to attack with the tail as if it were a club weapon")</f>
        <v>DEF: +40000 ++Smash - Allows you to attack with the tail as if it were a club weapon</v>
      </c>
      <c r="G638" s="2">
        <f>IFERROR(__xludf.DUMMYFUNCTION("""COMPUTED_VALUE"""),3.16E7)</f>
        <v>31600000</v>
      </c>
      <c r="H638" s="2"/>
      <c r="I638" s="2"/>
      <c r="J638" s="2"/>
      <c r="K638" s="2"/>
      <c r="L638" s="2"/>
      <c r="M638" s="2"/>
      <c r="N638" s="2"/>
      <c r="O638" s="2"/>
      <c r="P638" s="2"/>
      <c r="Q638" s="2"/>
      <c r="R638" s="2"/>
      <c r="S638" s="2"/>
      <c r="T638" s="2"/>
      <c r="U638" s="2"/>
      <c r="V638" s="2"/>
      <c r="W638" s="2"/>
      <c r="X638" s="2"/>
      <c r="Y638" s="2"/>
      <c r="Z638" s="2"/>
    </row>
    <row r="639">
      <c r="A639" s="2" t="str">
        <f>IFERROR(__xludf.DUMMYFUNCTION("""COMPUTED_VALUE"""),"Bashe's Flute")</f>
        <v>Bashe's Flute</v>
      </c>
      <c r="B639" s="2"/>
      <c r="C639" s="2" t="str">
        <f>IFERROR(__xludf.DUMMYFUNCTION("""COMPUTED_VALUE"""),"Instrument")</f>
        <v>Instrument</v>
      </c>
      <c r="D639" s="2" t="str">
        <f>IFERROR(__xludf.DUMMYFUNCTION("""COMPUTED_VALUE"""),"Hand")</f>
        <v>Hand</v>
      </c>
      <c r="E639" s="2">
        <f>IFERROR(__xludf.DUMMYFUNCTION("""COMPUTED_VALUE"""),1000.0)</f>
        <v>1000</v>
      </c>
      <c r="F639" s="2" t="str">
        <f>IFERROR(__xludf.DUMMYFUNCTION("""COMPUTED_VALUE"""),", Acoustic DMG: +50000 ++When Equipped with Bashe's Tail Deal 5X damage and cast 2 acoustic powers in an action instead of one for your first turn")</f>
        <v>, Acoustic DMG: +50000 ++When Equipped with Bashe's Tail Deal 5X damage and cast 2 acoustic powers in an action instead of one for your first turn</v>
      </c>
      <c r="G639" s="2">
        <f>IFERROR(__xludf.DUMMYFUNCTION("""COMPUTED_VALUE"""),4.95E7)</f>
        <v>49500000</v>
      </c>
      <c r="H639" s="2"/>
      <c r="I639" s="2"/>
      <c r="J639" s="2"/>
      <c r="K639" s="2"/>
      <c r="L639" s="2"/>
      <c r="M639" s="2"/>
      <c r="N639" s="2"/>
      <c r="O639" s="2"/>
      <c r="P639" s="2"/>
      <c r="Q639" s="2"/>
      <c r="R639" s="2"/>
      <c r="S639" s="2"/>
      <c r="T639" s="2"/>
      <c r="U639" s="2"/>
      <c r="V639" s="2"/>
      <c r="W639" s="2"/>
      <c r="X639" s="2"/>
      <c r="Y639" s="2"/>
      <c r="Z639" s="2"/>
    </row>
    <row r="640">
      <c r="A640" s="2" t="str">
        <f>IFERROR(__xludf.DUMMYFUNCTION("""COMPUTED_VALUE"""),"Grash's Favorite Length Of Iron")</f>
        <v>Grash's Favorite Length Of Iron</v>
      </c>
      <c r="B640" s="2"/>
      <c r="C640" s="2" t="str">
        <f>IFERROR(__xludf.DUMMYFUNCTION("""COMPUTED_VALUE"""),"Club")</f>
        <v>Club</v>
      </c>
      <c r="D640" s="2" t="str">
        <f>IFERROR(__xludf.DUMMYFUNCTION("""COMPUTED_VALUE"""),"Hand")</f>
        <v>Hand</v>
      </c>
      <c r="E640" s="2">
        <f>IFERROR(__xludf.DUMMYFUNCTION("""COMPUTED_VALUE"""),2000.0)</f>
        <v>2000</v>
      </c>
      <c r="F640" s="2" t="str">
        <f>IFERROR(__xludf.DUMMYFUNCTION("""COMPUTED_VALUE"""),"DMG: +100000 ++When a Samurai Wields this weapon they get access to the ""Grash's Smashing Success"" Natural Power")</f>
        <v>DMG: +100000 ++When a Samurai Wields this weapon they get access to the "Grash's Smashing Success" Natural Power</v>
      </c>
      <c r="G640" s="2">
        <f>IFERROR(__xludf.DUMMYFUNCTION("""COMPUTED_VALUE"""),1.99E8)</f>
        <v>199000000</v>
      </c>
      <c r="H640" s="2"/>
      <c r="I640" s="2"/>
      <c r="J640" s="2"/>
      <c r="K640" s="2"/>
      <c r="L640" s="2"/>
      <c r="M640" s="2"/>
      <c r="N640" s="2"/>
      <c r="O640" s="2"/>
      <c r="P640" s="2"/>
      <c r="Q640" s="2"/>
      <c r="R640" s="2"/>
      <c r="S640" s="2"/>
      <c r="T640" s="2"/>
      <c r="U640" s="2"/>
      <c r="V640" s="2"/>
      <c r="W640" s="2"/>
      <c r="X640" s="2"/>
      <c r="Y640" s="2"/>
      <c r="Z640" s="2"/>
    </row>
    <row r="641">
      <c r="A641" s="2" t="str">
        <f>IFERROR(__xludf.DUMMYFUNCTION("""COMPUTED_VALUE"""),"Wolf Tooth Neclace")</f>
        <v>Wolf Tooth Neclace</v>
      </c>
      <c r="B641" s="2"/>
      <c r="C641" s="2"/>
      <c r="D641" s="2" t="str">
        <f>IFERROR(__xludf.DUMMYFUNCTION("""COMPUTED_VALUE"""),"Neck")</f>
        <v>Neck</v>
      </c>
      <c r="E641" s="2">
        <f>IFERROR(__xludf.DUMMYFUNCTION("""COMPUTED_VALUE"""),1.0)</f>
        <v>1</v>
      </c>
      <c r="F641" s="2" t="str">
        <f>IFERROR(__xludf.DUMMYFUNCTION("""COMPUTED_VALUE""")," ++When fighting alongside a Beast Companion you get +5 to all weapon attacks (Wearing multiple does not cause this effect to stack)")</f>
        <v> ++When fighting alongside a Beast Companion you get +5 to all weapon attacks (Wearing multiple does not cause this effect to stack)</v>
      </c>
      <c r="G641" s="2">
        <f>IFERROR(__xludf.DUMMYFUNCTION("""COMPUTED_VALUE"""),0.0)</f>
        <v>0</v>
      </c>
      <c r="H641" s="2"/>
      <c r="I641" s="2"/>
      <c r="J641" s="2"/>
      <c r="K641" s="2"/>
      <c r="L641" s="2"/>
      <c r="M641" s="2"/>
      <c r="N641" s="2"/>
      <c r="O641" s="2"/>
      <c r="P641" s="2"/>
      <c r="Q641" s="2"/>
      <c r="R641" s="2"/>
      <c r="S641" s="2"/>
      <c r="T641" s="2"/>
      <c r="U641" s="2"/>
      <c r="V641" s="2"/>
      <c r="W641" s="2"/>
      <c r="X641" s="2"/>
      <c r="Y641" s="2"/>
      <c r="Z641" s="2"/>
    </row>
    <row r="642">
      <c r="A642" s="2" t="str">
        <f>IFERROR(__xludf.DUMMYFUNCTION("""COMPUTED_VALUE"""),"Dragon Scale Necklace")</f>
        <v>Dragon Scale Necklace</v>
      </c>
      <c r="B642" s="2"/>
      <c r="C642" s="2"/>
      <c r="D642" s="2" t="str">
        <f>IFERROR(__xludf.DUMMYFUNCTION("""COMPUTED_VALUE"""),"Neck")</f>
        <v>Neck</v>
      </c>
      <c r="E642" s="2">
        <f>IFERROR(__xludf.DUMMYFUNCTION("""COMPUTED_VALUE"""),1.0)</f>
        <v>1</v>
      </c>
      <c r="F642" s="2" t="str">
        <f>IFERROR(__xludf.DUMMYFUNCTION("""COMPUTED_VALUE""")," ++When fighting alongside a Draconic Companion you get +5 to all weapon attacks (Wearing multiple does not cause this effect to stack)")</f>
        <v> ++When fighting alongside a Draconic Companion you get +5 to all weapon attacks (Wearing multiple does not cause this effect to stack)</v>
      </c>
      <c r="G642" s="2">
        <f>IFERROR(__xludf.DUMMYFUNCTION("""COMPUTED_VALUE"""),0.0)</f>
        <v>0</v>
      </c>
      <c r="H642" s="2"/>
      <c r="I642" s="2"/>
      <c r="J642" s="2"/>
      <c r="K642" s="2"/>
      <c r="L642" s="2"/>
      <c r="M642" s="2"/>
      <c r="N642" s="2"/>
      <c r="O642" s="2"/>
      <c r="P642" s="2"/>
      <c r="Q642" s="2"/>
      <c r="R642" s="2"/>
      <c r="S642" s="2"/>
      <c r="T642" s="2"/>
      <c r="U642" s="2"/>
      <c r="V642" s="2"/>
      <c r="W642" s="2"/>
      <c r="X642" s="2"/>
      <c r="Y642" s="2"/>
      <c r="Z642" s="2"/>
    </row>
    <row r="643">
      <c r="A643" s="2" t="str">
        <f>IFERROR(__xludf.DUMMYFUNCTION("""COMPUTED_VALUE"""),"Heavenly Necklace")</f>
        <v>Heavenly Necklace</v>
      </c>
      <c r="B643" s="2"/>
      <c r="C643" s="2"/>
      <c r="D643" s="2" t="str">
        <f>IFERROR(__xludf.DUMMYFUNCTION("""COMPUTED_VALUE"""),"Neck")</f>
        <v>Neck</v>
      </c>
      <c r="E643" s="2">
        <f>IFERROR(__xludf.DUMMYFUNCTION("""COMPUTED_VALUE"""),1.0)</f>
        <v>1</v>
      </c>
      <c r="F643" s="2" t="str">
        <f>IFERROR(__xludf.DUMMYFUNCTION("""COMPUTED_VALUE""")," ++When fighting alongside a Heavenly Companion you get +5 to all weapon attacks (Wearing multiple does not cause this effect to stack)")</f>
        <v> ++When fighting alongside a Heavenly Companion you get +5 to all weapon attacks (Wearing multiple does not cause this effect to stack)</v>
      </c>
      <c r="G643" s="2">
        <f>IFERROR(__xludf.DUMMYFUNCTION("""COMPUTED_VALUE"""),0.0)</f>
        <v>0</v>
      </c>
      <c r="H643" s="2"/>
      <c r="I643" s="2"/>
      <c r="J643" s="2"/>
      <c r="K643" s="2"/>
      <c r="L643" s="2"/>
      <c r="M643" s="2"/>
      <c r="N643" s="2"/>
      <c r="O643" s="2"/>
      <c r="P643" s="2"/>
      <c r="Q643" s="2"/>
      <c r="R643" s="2"/>
      <c r="S643" s="2"/>
      <c r="T643" s="2"/>
      <c r="U643" s="2"/>
      <c r="V643" s="2"/>
      <c r="W643" s="2"/>
      <c r="X643" s="2"/>
      <c r="Y643" s="2"/>
      <c r="Z643" s="2"/>
    </row>
    <row r="644">
      <c r="A644" s="2" t="str">
        <f>IFERROR(__xludf.DUMMYFUNCTION("""COMPUTED_VALUE"""),"Demonic Necklace")</f>
        <v>Demonic Necklace</v>
      </c>
      <c r="B644" s="2"/>
      <c r="C644" s="2"/>
      <c r="D644" s="2" t="str">
        <f>IFERROR(__xludf.DUMMYFUNCTION("""COMPUTED_VALUE"""),"Neck")</f>
        <v>Neck</v>
      </c>
      <c r="E644" s="2">
        <f>IFERROR(__xludf.DUMMYFUNCTION("""COMPUTED_VALUE"""),1.0)</f>
        <v>1</v>
      </c>
      <c r="F644" s="2" t="str">
        <f>IFERROR(__xludf.DUMMYFUNCTION("""COMPUTED_VALUE""")," ++When fighting alongside a Demonic Companion you get +5 to all weapon attacks (Wearing multiple does not cause this effect to stack)")</f>
        <v> ++When fighting alongside a Demonic Companion you get +5 to all weapon attacks (Wearing multiple does not cause this effect to stack)</v>
      </c>
      <c r="G644" s="2">
        <f>IFERROR(__xludf.DUMMYFUNCTION("""COMPUTED_VALUE"""),0.0)</f>
        <v>0</v>
      </c>
      <c r="H644" s="2"/>
      <c r="I644" s="2"/>
      <c r="J644" s="2"/>
      <c r="K644" s="2"/>
      <c r="L644" s="2"/>
      <c r="M644" s="2"/>
      <c r="N644" s="2"/>
      <c r="O644" s="2"/>
      <c r="P644" s="2"/>
      <c r="Q644" s="2"/>
      <c r="R644" s="2"/>
      <c r="S644" s="2"/>
      <c r="T644" s="2"/>
      <c r="U644" s="2"/>
      <c r="V644" s="2"/>
      <c r="W644" s="2"/>
      <c r="X644" s="2"/>
      <c r="Y644" s="2"/>
      <c r="Z644" s="2"/>
    </row>
    <row r="645">
      <c r="A645" s="2" t="str">
        <f>IFERROR(__xludf.DUMMYFUNCTION("""COMPUTED_VALUE"""),"The Cloak of Gévaudan")</f>
        <v>The Cloak of Gévaudan</v>
      </c>
      <c r="B645" s="2"/>
      <c r="C645" s="2"/>
      <c r="D645" s="2" t="str">
        <f>IFERROR(__xludf.DUMMYFUNCTION("""COMPUTED_VALUE"""),"Shoulders")</f>
        <v>Shoulders</v>
      </c>
      <c r="E645" s="2">
        <f>IFERROR(__xludf.DUMMYFUNCTION("""COMPUTED_VALUE"""),800.0)</f>
        <v>800</v>
      </c>
      <c r="F645" s="2" t="str">
        <f>IFERROR(__xludf.DUMMYFUNCTION("""COMPUTED_VALUE"""),"DEF: +25000, Fire DEF: +15000 ++The warm coat grants you immunity to freezing.")</f>
        <v>DEF: +25000, Fire DEF: +15000 ++The warm coat grants you immunity to freezing.</v>
      </c>
      <c r="G645" s="2">
        <f>IFERROR(__xludf.DUMMYFUNCTION("""COMPUTED_VALUE"""),3.16E7)</f>
        <v>31600000</v>
      </c>
      <c r="H645" s="2"/>
      <c r="I645" s="2"/>
      <c r="J645" s="2"/>
      <c r="K645" s="2"/>
      <c r="L645" s="2"/>
      <c r="M645" s="2"/>
      <c r="N645" s="2"/>
      <c r="O645" s="2"/>
      <c r="P645" s="2"/>
      <c r="Q645" s="2"/>
      <c r="R645" s="2"/>
      <c r="S645" s="2"/>
      <c r="T645" s="2"/>
      <c r="U645" s="2"/>
      <c r="V645" s="2"/>
      <c r="W645" s="2"/>
      <c r="X645" s="2"/>
      <c r="Y645" s="2"/>
      <c r="Z645" s="2"/>
    </row>
    <row r="646">
      <c r="A646" s="2" t="str">
        <f>IFERROR(__xludf.DUMMYFUNCTION("""COMPUTED_VALUE"""),"Spirit Glyph")</f>
        <v>Spirit Glyph</v>
      </c>
      <c r="B646" s="2"/>
      <c r="C646" s="2"/>
      <c r="D646" s="2" t="str">
        <f>IFERROR(__xludf.DUMMYFUNCTION("""COMPUTED_VALUE"""),"Ring")</f>
        <v>Ring</v>
      </c>
      <c r="E646" s="2">
        <f>IFERROR(__xludf.DUMMYFUNCTION("""COMPUTED_VALUE"""),1.0)</f>
        <v>1</v>
      </c>
      <c r="F646" s="2" t="str">
        <f>IFERROR(__xludf.DUMMYFUNCTION("""COMPUTED_VALUE""")," ++When Fighting alongside a spirit companion you get ++5 to all weapon attacks. ++You get access to the ""Spiritual Meld"" Spell (Wearing multiple does not cause this effect to stack)")</f>
        <v> ++When Fighting alongside a spirit companion you get ++5 to all weapon attacks. ++You get access to the "Spiritual Meld" Spell (Wearing multiple does not cause this effect to stack)</v>
      </c>
      <c r="G646" s="2">
        <f>IFERROR(__xludf.DUMMYFUNCTION("""COMPUTED_VALUE"""),0.0)</f>
        <v>0</v>
      </c>
      <c r="H646" s="2"/>
      <c r="I646" s="2"/>
      <c r="J646" s="2"/>
      <c r="K646" s="2"/>
      <c r="L646" s="2"/>
      <c r="M646" s="2"/>
      <c r="N646" s="2"/>
      <c r="O646" s="2"/>
      <c r="P646" s="2"/>
      <c r="Q646" s="2"/>
      <c r="R646" s="2"/>
      <c r="S646" s="2"/>
      <c r="T646" s="2"/>
      <c r="U646" s="2"/>
      <c r="V646" s="2"/>
      <c r="W646" s="2"/>
      <c r="X646" s="2"/>
      <c r="Y646" s="2"/>
      <c r="Z646" s="2"/>
    </row>
    <row r="647">
      <c r="A647" s="2" t="str">
        <f>IFERROR(__xludf.DUMMYFUNCTION("""COMPUTED_VALUE"""),"Necromantic Sigil")</f>
        <v>Necromantic Sigil</v>
      </c>
      <c r="B647" s="2"/>
      <c r="C647" s="2"/>
      <c r="D647" s="2" t="str">
        <f>IFERROR(__xludf.DUMMYFUNCTION("""COMPUTED_VALUE"""),"Ring")</f>
        <v>Ring</v>
      </c>
      <c r="E647" s="2">
        <f>IFERROR(__xludf.DUMMYFUNCTION("""COMPUTED_VALUE"""),1.0)</f>
        <v>1</v>
      </c>
      <c r="F647" s="2" t="str">
        <f>IFERROR(__xludf.DUMMYFUNCTION("""COMPUTED_VALUE""")," ++When Fighting alongside an undead companion you get +5 to all weapon attacks (Wearing multiple does not cause this effect to stack)")</f>
        <v> ++When Fighting alongside an undead companion you get +5 to all weapon attacks (Wearing multiple does not cause this effect to stack)</v>
      </c>
      <c r="G647" s="2">
        <f>IFERROR(__xludf.DUMMYFUNCTION("""COMPUTED_VALUE"""),0.0)</f>
        <v>0</v>
      </c>
      <c r="H647" s="2"/>
      <c r="I647" s="2"/>
      <c r="J647" s="2"/>
      <c r="K647" s="2"/>
      <c r="L647" s="2"/>
      <c r="M647" s="2"/>
      <c r="N647" s="2"/>
      <c r="O647" s="2"/>
      <c r="P647" s="2"/>
      <c r="Q647" s="2"/>
      <c r="R647" s="2"/>
      <c r="S647" s="2"/>
      <c r="T647" s="2"/>
      <c r="U647" s="2"/>
      <c r="V647" s="2"/>
      <c r="W647" s="2"/>
      <c r="X647" s="2"/>
      <c r="Y647" s="2"/>
      <c r="Z647" s="2"/>
    </row>
    <row r="648">
      <c r="A648" s="2" t="str">
        <f>IFERROR(__xludf.DUMMYFUNCTION("""COMPUTED_VALUE"""),"Dragonslayer")</f>
        <v>Dragonslayer</v>
      </c>
      <c r="B648" s="2" t="str">
        <f>IFERROR(__xludf.DUMMYFUNCTION("""COMPUTED_VALUE"""),"It was too big to be called a sword. Massive, thick, heavy, and far too rough. Indeed, it was a heap of raw iron.")</f>
        <v>It was too big to be called a sword. Massive, thick, heavy, and far too rough. Indeed, it was a heap of raw iron.</v>
      </c>
      <c r="C648" s="2" t="str">
        <f>IFERROR(__xludf.DUMMYFUNCTION("""COMPUTED_VALUE"""),"Sword")</f>
        <v>Sword</v>
      </c>
      <c r="D648" s="2" t="str">
        <f>IFERROR(__xludf.DUMMYFUNCTION("""COMPUTED_VALUE"""),"Hand")</f>
        <v>Hand</v>
      </c>
      <c r="E648" s="2">
        <f>IFERROR(__xludf.DUMMYFUNCTION("""COMPUTED_VALUE"""),2000.0)</f>
        <v>2000</v>
      </c>
      <c r="F648" s="2" t="str">
        <f>IFERROR(__xludf.DUMMYFUNCTION("""COMPUTED_VALUE"""),"DMG: +100000 ++Deals X10 damage when fighting a Dragon or Monstrosity")</f>
        <v>DMG: +100000 ++Deals X10 damage when fighting a Dragon or Monstrosity</v>
      </c>
      <c r="G648" s="2">
        <f>IFERROR(__xludf.DUMMYFUNCTION("""COMPUTED_VALUE"""),1.99E8)</f>
        <v>199000000</v>
      </c>
      <c r="H648" s="2"/>
      <c r="I648" s="2"/>
      <c r="J648" s="2"/>
      <c r="K648" s="2"/>
      <c r="L648" s="2"/>
      <c r="M648" s="2"/>
      <c r="N648" s="2"/>
      <c r="O648" s="2"/>
      <c r="P648" s="2"/>
      <c r="Q648" s="2"/>
      <c r="R648" s="2"/>
      <c r="S648" s="2"/>
      <c r="T648" s="2"/>
      <c r="U648" s="2"/>
      <c r="V648" s="2"/>
      <c r="W648" s="2"/>
      <c r="X648" s="2"/>
      <c r="Y648" s="2"/>
      <c r="Z648" s="2"/>
    </row>
    <row r="649">
      <c r="A649" s="2" t="str">
        <f>IFERROR(__xludf.DUMMYFUNCTION("""COMPUTED_VALUE"""),"Rusted Halberd")</f>
        <v>Rusted Halberd</v>
      </c>
      <c r="B649" s="2"/>
      <c r="C649" s="2" t="str">
        <f>IFERROR(__xludf.DUMMYFUNCTION("""COMPUTED_VALUE"""),"Spear")</f>
        <v>Spear</v>
      </c>
      <c r="D649" s="2" t="str">
        <f>IFERROR(__xludf.DUMMYFUNCTION("""COMPUTED_VALUE"""),"Hand")</f>
        <v>Hand</v>
      </c>
      <c r="E649" s="2">
        <f>IFERROR(__xludf.DUMMYFUNCTION("""COMPUTED_VALUE"""),100.0)</f>
        <v>100</v>
      </c>
      <c r="F649" s="2" t="str">
        <f>IFERROR(__xludf.DUMMYFUNCTION("""COMPUTED_VALUE"""),"DMG: +5000")</f>
        <v>DMG: +5000</v>
      </c>
      <c r="G649" s="2">
        <f>IFERROR(__xludf.DUMMYFUNCTION("""COMPUTED_VALUE"""),450000.0)</f>
        <v>450000</v>
      </c>
      <c r="H649" s="2"/>
      <c r="I649" s="2"/>
      <c r="J649" s="2"/>
      <c r="K649" s="2"/>
      <c r="L649" s="2"/>
      <c r="M649" s="2"/>
      <c r="N649" s="2"/>
      <c r="O649" s="2"/>
      <c r="P649" s="2"/>
      <c r="Q649" s="2"/>
      <c r="R649" s="2"/>
      <c r="S649" s="2"/>
      <c r="T649" s="2"/>
      <c r="U649" s="2"/>
      <c r="V649" s="2"/>
      <c r="W649" s="2"/>
      <c r="X649" s="2"/>
      <c r="Y649" s="2"/>
      <c r="Z649" s="2"/>
    </row>
    <row r="650">
      <c r="A650" s="2" t="str">
        <f>IFERROR(__xludf.DUMMYFUNCTION("""COMPUTED_VALUE"""),"Diseased Rapier")</f>
        <v>Diseased Rapier</v>
      </c>
      <c r="B650" s="2"/>
      <c r="C650" s="2" t="str">
        <f>IFERROR(__xludf.DUMMYFUNCTION("""COMPUTED_VALUE"""),"Sword")</f>
        <v>Sword</v>
      </c>
      <c r="D650" s="2" t="str">
        <f>IFERROR(__xludf.DUMMYFUNCTION("""COMPUTED_VALUE"""),"Hand")</f>
        <v>Hand</v>
      </c>
      <c r="E650" s="2">
        <f>IFERROR(__xludf.DUMMYFUNCTION("""COMPUTED_VALUE"""),50.0)</f>
        <v>50</v>
      </c>
      <c r="F650" s="2" t="str">
        <f>IFERROR(__xludf.DUMMYFUNCTION("""COMPUTED_VALUE"""),"DMG: +2500 ++15% chance to inflict the target with a random non-pemanent disease")</f>
        <v>DMG: +2500 ++15% chance to inflict the target with a random non-pemanent disease</v>
      </c>
      <c r="G650" s="2">
        <f>IFERROR(__xludf.DUMMYFUNCTION("""COMPUTED_VALUE"""),100000.0)</f>
        <v>100000</v>
      </c>
      <c r="H650" s="2"/>
      <c r="I650" s="2"/>
      <c r="J650" s="2"/>
      <c r="K650" s="2"/>
      <c r="L650" s="2"/>
      <c r="M650" s="2"/>
      <c r="N650" s="2"/>
      <c r="O650" s="2"/>
      <c r="P650" s="2"/>
      <c r="Q650" s="2"/>
      <c r="R650" s="2"/>
      <c r="S650" s="2"/>
      <c r="T650" s="2"/>
      <c r="U650" s="2"/>
      <c r="V650" s="2"/>
      <c r="W650" s="2"/>
      <c r="X650" s="2"/>
      <c r="Y650" s="2"/>
      <c r="Z650" s="2"/>
    </row>
    <row r="651">
      <c r="A651" s="2" t="str">
        <f>IFERROR(__xludf.DUMMYFUNCTION("""COMPUTED_VALUE"""),"Symbol of Greed")</f>
        <v>Symbol of Greed</v>
      </c>
      <c r="B651" s="2"/>
      <c r="C651" s="2"/>
      <c r="D651" s="2" t="str">
        <f>IFERROR(__xludf.DUMMYFUNCTION("""COMPUTED_VALUE"""),"Finger")</f>
        <v>Finger</v>
      </c>
      <c r="E651" s="2">
        <f>IFERROR(__xludf.DUMMYFUNCTION("""COMPUTED_VALUE"""),1.0)</f>
        <v>1</v>
      </c>
      <c r="F651" s="2" t="str">
        <f>IFERROR(__xludf.DUMMYFUNCTION("""COMPUTED_VALUE""")," ++Great Deal - When determining the difficulty to haggle with a shopkeeper, the shopkeeper rolls the difficulty twice and takes the lower number +-(merchant class only)")</f>
        <v> ++Great Deal - When determining the difficulty to haggle with a shopkeeper, the shopkeeper rolls the difficulty twice and takes the lower number +-(merchant class only)</v>
      </c>
      <c r="G651" s="2">
        <f>IFERROR(__xludf.DUMMYFUNCTION("""COMPUTED_VALUE"""),0.0)</f>
        <v>0</v>
      </c>
      <c r="H651" s="2"/>
      <c r="I651" s="2"/>
      <c r="J651" s="2"/>
      <c r="K651" s="2"/>
      <c r="L651" s="2"/>
      <c r="M651" s="2"/>
      <c r="N651" s="2"/>
      <c r="O651" s="2"/>
      <c r="P651" s="2"/>
      <c r="Q651" s="2"/>
      <c r="R651" s="2"/>
      <c r="S651" s="2"/>
      <c r="T651" s="2"/>
      <c r="U651" s="2"/>
      <c r="V651" s="2"/>
      <c r="W651" s="2"/>
      <c r="X651" s="2"/>
      <c r="Y651" s="2"/>
      <c r="Z651" s="2"/>
    </row>
    <row r="652">
      <c r="A652" s="2" t="str">
        <f>IFERROR(__xludf.DUMMYFUNCTION("""COMPUTED_VALUE"""),"Enchanted Quiver")</f>
        <v>Enchanted Quiver</v>
      </c>
      <c r="B652" s="2"/>
      <c r="C652" s="2"/>
      <c r="D652" s="2" t="str">
        <f>IFERROR(__xludf.DUMMYFUNCTION("""COMPUTED_VALUE"""),"Shoulders")</f>
        <v>Shoulders</v>
      </c>
      <c r="E652" s="2">
        <f>IFERROR(__xludf.DUMMYFUNCTION("""COMPUTED_VALUE"""),1.0)</f>
        <v>1</v>
      </c>
      <c r="F652" s="2" t="str">
        <f>IFERROR(__xludf.DUMMYFUNCTION("""COMPUTED_VALUE""")," ++Magic Arrow - ++5 to all attack rolls with a bow +-(Archer Class Only)")</f>
        <v> ++Magic Arrow - ++5 to all attack rolls with a bow +-(Archer Class Only)</v>
      </c>
      <c r="G652" s="2">
        <f>IFERROR(__xludf.DUMMYFUNCTION("""COMPUTED_VALUE"""),0.0)</f>
        <v>0</v>
      </c>
      <c r="H652" s="2"/>
      <c r="I652" s="2"/>
      <c r="J652" s="2"/>
      <c r="K652" s="2"/>
      <c r="L652" s="2"/>
      <c r="M652" s="2"/>
      <c r="N652" s="2"/>
      <c r="O652" s="2"/>
      <c r="P652" s="2"/>
      <c r="Q652" s="2"/>
      <c r="R652" s="2"/>
      <c r="S652" s="2"/>
      <c r="T652" s="2"/>
      <c r="U652" s="2"/>
      <c r="V652" s="2"/>
      <c r="W652" s="2"/>
      <c r="X652" s="2"/>
      <c r="Y652" s="2"/>
      <c r="Z652" s="2"/>
    </row>
    <row r="653">
      <c r="A653" s="2" t="str">
        <f>IFERROR(__xludf.DUMMYFUNCTION("""COMPUTED_VALUE"""),"Ring of the Siren")</f>
        <v>Ring of the Siren</v>
      </c>
      <c r="B653" s="2"/>
      <c r="C653" s="2"/>
      <c r="D653" s="2" t="str">
        <f>IFERROR(__xludf.DUMMYFUNCTION("""COMPUTED_VALUE"""),"Finger")</f>
        <v>Finger</v>
      </c>
      <c r="E653" s="2">
        <f>IFERROR(__xludf.DUMMYFUNCTION("""COMPUTED_VALUE"""),1.0)</f>
        <v>1</v>
      </c>
      <c r="F653" s="2" t="str">
        <f>IFERROR(__xludf.DUMMYFUNCTION("""COMPUTED_VALUE""")," ++X2 acoustic damage ++Song of the Siren - At the start of battle you may roll a fail or Succeed roll to enchant an enemy, causing them to join your side, (for the sake of immunities this counts as possession) +-(Bard Class Only)")</f>
        <v> ++X2 acoustic damage ++Song of the Siren - At the start of battle you may roll a fail or Succeed roll to enchant an enemy, causing them to join your side, (for the sake of immunities this counts as possession) +-(Bard Class Only)</v>
      </c>
      <c r="G653" s="2">
        <f>IFERROR(__xludf.DUMMYFUNCTION("""COMPUTED_VALUE"""),0.0)</f>
        <v>0</v>
      </c>
      <c r="H653" s="2"/>
      <c r="I653" s="2"/>
      <c r="J653" s="2"/>
      <c r="K653" s="2"/>
      <c r="L653" s="2"/>
      <c r="M653" s="2"/>
      <c r="N653" s="2"/>
      <c r="O653" s="2"/>
      <c r="P653" s="2"/>
      <c r="Q653" s="2"/>
      <c r="R653" s="2"/>
      <c r="S653" s="2"/>
      <c r="T653" s="2"/>
      <c r="U653" s="2"/>
      <c r="V653" s="2"/>
      <c r="W653" s="2"/>
      <c r="X653" s="2"/>
      <c r="Y653" s="2"/>
      <c r="Z653" s="2"/>
    </row>
    <row r="654">
      <c r="A654" s="2" t="str">
        <f>IFERROR(__xludf.DUMMYFUNCTION("""COMPUTED_VALUE"""),"Amulet of The Berserker")</f>
        <v>Amulet of The Berserker</v>
      </c>
      <c r="B654" s="2"/>
      <c r="C654" s="2"/>
      <c r="D654" s="2" t="str">
        <f>IFERROR(__xludf.DUMMYFUNCTION("""COMPUTED_VALUE"""),"Neck")</f>
        <v>Neck</v>
      </c>
      <c r="E654" s="2">
        <f>IFERROR(__xludf.DUMMYFUNCTION("""COMPUTED_VALUE"""),1.0)</f>
        <v>1</v>
      </c>
      <c r="F654" s="2" t="str">
        <f>IFERROR(__xludf.DUMMYFUNCTION("""COMPUTED_VALUE""")," ++Berserk - When attacking or being attacked gain 1 stack of Insanity +-(Brawler Class Only)")</f>
        <v> ++Berserk - When attacking or being attacked gain 1 stack of Insanity +-(Brawler Class Only)</v>
      </c>
      <c r="G654" s="2">
        <f>IFERROR(__xludf.DUMMYFUNCTION("""COMPUTED_VALUE"""),0.0)</f>
        <v>0</v>
      </c>
      <c r="H654" s="2"/>
      <c r="I654" s="2"/>
      <c r="J654" s="2"/>
      <c r="K654" s="2"/>
      <c r="L654" s="2"/>
      <c r="M654" s="2"/>
      <c r="N654" s="2"/>
      <c r="O654" s="2"/>
      <c r="P654" s="2"/>
      <c r="Q654" s="2"/>
      <c r="R654" s="2"/>
      <c r="S654" s="2"/>
      <c r="T654" s="2"/>
      <c r="U654" s="2"/>
      <c r="V654" s="2"/>
      <c r="W654" s="2"/>
      <c r="X654" s="2"/>
      <c r="Y654" s="2"/>
      <c r="Z654" s="2"/>
    </row>
    <row r="655">
      <c r="A655" s="2" t="str">
        <f>IFERROR(__xludf.DUMMYFUNCTION("""COMPUTED_VALUE"""),"Mask of the Cultist")</f>
        <v>Mask of the Cultist</v>
      </c>
      <c r="B655" s="2"/>
      <c r="C655" s="2"/>
      <c r="D655" s="2" t="str">
        <f>IFERROR(__xludf.DUMMYFUNCTION("""COMPUTED_VALUE"""),"Head")</f>
        <v>Head</v>
      </c>
      <c r="E655" s="2">
        <f>IFERROR(__xludf.DUMMYFUNCTION("""COMPUTED_VALUE"""),1.0)</f>
        <v>1</v>
      </c>
      <c r="F655" s="2" t="str">
        <f>IFERROR(__xludf.DUMMYFUNCTION("""COMPUTED_VALUE""")," ++One of Us - when fighting alongside another party member with an evil alignment you gain +5 to your attack rolls. +-(Cultist Class Only)")</f>
        <v> ++One of Us - when fighting alongside another party member with an evil alignment you gain +5 to your attack rolls. +-(Cultist Class Only)</v>
      </c>
      <c r="G655" s="2">
        <f>IFERROR(__xludf.DUMMYFUNCTION("""COMPUTED_VALUE"""),0.0)</f>
        <v>0</v>
      </c>
      <c r="H655" s="2"/>
      <c r="I655" s="2"/>
      <c r="J655" s="2"/>
      <c r="K655" s="2"/>
      <c r="L655" s="2"/>
      <c r="M655" s="2"/>
      <c r="N655" s="2"/>
      <c r="O655" s="2"/>
      <c r="P655" s="2"/>
      <c r="Q655" s="2"/>
      <c r="R655" s="2"/>
      <c r="S655" s="2"/>
      <c r="T655" s="2"/>
      <c r="U655" s="2"/>
      <c r="V655" s="2"/>
      <c r="W655" s="2"/>
      <c r="X655" s="2"/>
      <c r="Y655" s="2"/>
      <c r="Z655" s="2"/>
    </row>
    <row r="656">
      <c r="A656" s="2" t="str">
        <f>IFERROR(__xludf.DUMMYFUNCTION("""COMPUTED_VALUE"""),"""Natural"" Cologne")</f>
        <v>"Natural" Cologne</v>
      </c>
      <c r="B656" s="2"/>
      <c r="C656" s="2"/>
      <c r="D656" s="2" t="str">
        <f>IFERROR(__xludf.DUMMYFUNCTION("""COMPUTED_VALUE"""),"Neck")</f>
        <v>Neck</v>
      </c>
      <c r="E656" s="2">
        <f>IFERROR(__xludf.DUMMYFUNCTION("""COMPUTED_VALUE"""),1.0)</f>
        <v>1</v>
      </c>
      <c r="F656" s="2" t="str">
        <f>IFERROR(__xludf.DUMMYFUNCTION("""COMPUTED_VALUE""")," ++Animal Friend - When trying to tame a creature you only have to succeed on a charisma roll twice instead of thrice +-(Druid Class Only)")</f>
        <v> ++Animal Friend - When trying to tame a creature you only have to succeed on a charisma roll twice instead of thrice +-(Druid Class Only)</v>
      </c>
      <c r="G656" s="2">
        <f>IFERROR(__xludf.DUMMYFUNCTION("""COMPUTED_VALUE"""),0.0)</f>
        <v>0</v>
      </c>
      <c r="H656" s="2"/>
      <c r="I656" s="2"/>
      <c r="J656" s="2"/>
      <c r="K656" s="2"/>
      <c r="L656" s="2"/>
      <c r="M656" s="2"/>
      <c r="N656" s="2"/>
      <c r="O656" s="2"/>
      <c r="P656" s="2"/>
      <c r="Q656" s="2"/>
      <c r="R656" s="2"/>
      <c r="S656" s="2"/>
      <c r="T656" s="2"/>
      <c r="U656" s="2"/>
      <c r="V656" s="2"/>
      <c r="W656" s="2"/>
      <c r="X656" s="2"/>
      <c r="Y656" s="2"/>
      <c r="Z656" s="2"/>
    </row>
    <row r="657">
      <c r="A657" s="2" t="str">
        <f>IFERROR(__xludf.DUMMYFUNCTION("""COMPUTED_VALUE"""),"Bonded Ring")</f>
        <v>Bonded Ring</v>
      </c>
      <c r="B657" s="2"/>
      <c r="C657" s="2"/>
      <c r="D657" s="2" t="str">
        <f>IFERROR(__xludf.DUMMYFUNCTION("""COMPUTED_VALUE"""),"Finger")</f>
        <v>Finger</v>
      </c>
      <c r="E657" s="2">
        <f>IFERROR(__xludf.DUMMYFUNCTION("""COMPUTED_VALUE"""),1.0)</f>
        <v>1</v>
      </c>
      <c r="F657" s="2" t="str">
        <f>IFERROR(__xludf.DUMMYFUNCTION("""COMPUTED_VALUE""")," ++A Bond Stronger Than Iron - When with a hatched companion you gain a 10% chance to be unnaffected by an attack +-one use per battle +-(Cavalier Class Only)")</f>
        <v> ++A Bond Stronger Than Iron - When with a hatched companion you gain a 10% chance to be unnaffected by an attack +-one use per battle +-(Cavalier Class Only)</v>
      </c>
      <c r="G657" s="2">
        <f>IFERROR(__xludf.DUMMYFUNCTION("""COMPUTED_VALUE"""),0.0)</f>
        <v>0</v>
      </c>
      <c r="H657" s="2"/>
      <c r="I657" s="2"/>
      <c r="J657" s="2"/>
      <c r="K657" s="2"/>
      <c r="L657" s="2"/>
      <c r="M657" s="2"/>
      <c r="N657" s="2"/>
      <c r="O657" s="2"/>
      <c r="P657" s="2"/>
      <c r="Q657" s="2"/>
      <c r="R657" s="2"/>
      <c r="S657" s="2"/>
      <c r="T657" s="2"/>
      <c r="U657" s="2"/>
      <c r="V657" s="2"/>
      <c r="W657" s="2"/>
      <c r="X657" s="2"/>
      <c r="Y657" s="2"/>
      <c r="Z657" s="2"/>
    </row>
    <row r="658">
      <c r="A658" s="2" t="str">
        <f>IFERROR(__xludf.DUMMYFUNCTION("""COMPUTED_VALUE"""),"Deadeye Brooch")</f>
        <v>Deadeye Brooch</v>
      </c>
      <c r="B658" s="2"/>
      <c r="C658" s="2"/>
      <c r="D658" s="2" t="str">
        <f>IFERROR(__xludf.DUMMYFUNCTION("""COMPUTED_VALUE"""),"Neck")</f>
        <v>Neck</v>
      </c>
      <c r="E658" s="2">
        <f>IFERROR(__xludf.DUMMYFUNCTION("""COMPUTED_VALUE"""),1.0)</f>
        <v>1</v>
      </c>
      <c r="F658" s="2" t="str">
        <f>IFERROR(__xludf.DUMMYFUNCTION("""COMPUTED_VALUE""")," ++One Shot, One Kill - If you kill an enemy with one shot using a firearm you can attack again with the firearm +-(Gunslinger Class Only)")</f>
        <v> ++One Shot, One Kill - If you kill an enemy with one shot using a firearm you can attack again with the firearm +-(Gunslinger Class Only)</v>
      </c>
      <c r="G658" s="2">
        <f>IFERROR(__xludf.DUMMYFUNCTION("""COMPUTED_VALUE"""),0.0)</f>
        <v>0</v>
      </c>
      <c r="H658" s="2"/>
      <c r="I658" s="2"/>
      <c r="J658" s="2"/>
      <c r="K658" s="2"/>
      <c r="L658" s="2"/>
      <c r="M658" s="2"/>
      <c r="N658" s="2"/>
      <c r="O658" s="2"/>
      <c r="P658" s="2"/>
      <c r="Q658" s="2"/>
      <c r="R658" s="2"/>
      <c r="S658" s="2"/>
      <c r="T658" s="2"/>
      <c r="U658" s="2"/>
      <c r="V658" s="2"/>
      <c r="W658" s="2"/>
      <c r="X658" s="2"/>
      <c r="Y658" s="2"/>
      <c r="Z658" s="2"/>
    </row>
    <row r="659">
      <c r="A659" s="2" t="str">
        <f>IFERROR(__xludf.DUMMYFUNCTION("""COMPUTED_VALUE"""),"Tool Kit")</f>
        <v>Tool Kit</v>
      </c>
      <c r="B659" s="2"/>
      <c r="C659" s="2"/>
      <c r="D659" s="2" t="str">
        <f>IFERROR(__xludf.DUMMYFUNCTION("""COMPUTED_VALUE"""),"Ring")</f>
        <v>Ring</v>
      </c>
      <c r="E659" s="2">
        <f>IFERROR(__xludf.DUMMYFUNCTION("""COMPUTED_VALUE"""),1.0)</f>
        <v>1</v>
      </c>
      <c r="F659" s="2" t="str">
        <f>IFERROR(__xludf.DUMMYFUNCTION("""COMPUTED_VALUE""")," ++The Right Tool For The Job - once per dungeon you are guaranteed to disable a trap +-(Hunter Class Only)")</f>
        <v> ++The Right Tool For The Job - once per dungeon you are guaranteed to disable a trap +-(Hunter Class Only)</v>
      </c>
      <c r="G659" s="2">
        <f>IFERROR(__xludf.DUMMYFUNCTION("""COMPUTED_VALUE"""),0.0)</f>
        <v>0</v>
      </c>
      <c r="H659" s="2"/>
      <c r="I659" s="2"/>
      <c r="J659" s="2"/>
      <c r="K659" s="2"/>
      <c r="L659" s="2"/>
      <c r="M659" s="2"/>
      <c r="N659" s="2"/>
      <c r="O659" s="2"/>
      <c r="P659" s="2"/>
      <c r="Q659" s="2"/>
      <c r="R659" s="2"/>
      <c r="S659" s="2"/>
      <c r="T659" s="2"/>
      <c r="U659" s="2"/>
      <c r="V659" s="2"/>
      <c r="W659" s="2"/>
      <c r="X659" s="2"/>
      <c r="Y659" s="2"/>
      <c r="Z659" s="2"/>
    </row>
    <row r="660">
      <c r="A660" s="2" t="str">
        <f>IFERROR(__xludf.DUMMYFUNCTION("""COMPUTED_VALUE"""),"Basic Bitch Award")</f>
        <v>Basic Bitch Award</v>
      </c>
      <c r="B660" s="2"/>
      <c r="C660" s="2"/>
      <c r="D660" s="2" t="str">
        <f>IFERROR(__xludf.DUMMYFUNCTION("""COMPUTED_VALUE"""),"Ring")</f>
        <v>Ring</v>
      </c>
      <c r="E660" s="2">
        <f>IFERROR(__xludf.DUMMYFUNCTION("""COMPUTED_VALUE"""),1.0)</f>
        <v>1</v>
      </c>
      <c r="F660" s="2" t="str">
        <f>IFERROR(__xludf.DUMMYFUNCTION("""COMPUTED_VALUE""")," ++Joe Schmoe - +5 Charisma +-(Knight Class Only)")</f>
        <v> ++Joe Schmoe - +5 Charisma +-(Knight Class Only)</v>
      </c>
      <c r="G660" s="2">
        <f>IFERROR(__xludf.DUMMYFUNCTION("""COMPUTED_VALUE"""),0.0)</f>
        <v>0</v>
      </c>
      <c r="H660" s="2"/>
      <c r="I660" s="2"/>
      <c r="J660" s="2"/>
      <c r="K660" s="2"/>
      <c r="L660" s="2"/>
      <c r="M660" s="2"/>
      <c r="N660" s="2"/>
      <c r="O660" s="2"/>
      <c r="P660" s="2"/>
      <c r="Q660" s="2"/>
      <c r="R660" s="2"/>
      <c r="S660" s="2"/>
      <c r="T660" s="2"/>
      <c r="U660" s="2"/>
      <c r="V660" s="2"/>
      <c r="W660" s="2"/>
      <c r="X660" s="2"/>
      <c r="Y660" s="2"/>
      <c r="Z660" s="2"/>
    </row>
    <row r="661">
      <c r="A661" s="2" t="str">
        <f>IFERROR(__xludf.DUMMYFUNCTION("""COMPUTED_VALUE"""),"Ring of The Frail Scholar")</f>
        <v>Ring of The Frail Scholar</v>
      </c>
      <c r="B661" s="2"/>
      <c r="C661" s="2"/>
      <c r="D661" s="2" t="str">
        <f>IFERROR(__xludf.DUMMYFUNCTION("""COMPUTED_VALUE"""),"Ring")</f>
        <v>Ring</v>
      </c>
      <c r="E661" s="2">
        <f>IFERROR(__xludf.DUMMYFUNCTION("""COMPUTED_VALUE"""),1.0)</f>
        <v>1</v>
      </c>
      <c r="F661" s="2" t="str">
        <f>IFERROR(__xludf.DUMMYFUNCTION("""COMPUTED_VALUE""")," ++Frail Scholar - Lowers HP by half but doubles SP +-(Mage, Wizard, and Sorcerer Class Only)")</f>
        <v> ++Frail Scholar - Lowers HP by half but doubles SP +-(Mage, Wizard, and Sorcerer Class Only)</v>
      </c>
      <c r="G661" s="2">
        <f>IFERROR(__xludf.DUMMYFUNCTION("""COMPUTED_VALUE"""),0.0)</f>
        <v>0</v>
      </c>
      <c r="H661" s="2"/>
      <c r="I661" s="2"/>
      <c r="J661" s="2"/>
      <c r="K661" s="2"/>
      <c r="L661" s="2"/>
      <c r="M661" s="2"/>
      <c r="N661" s="2"/>
      <c r="O661" s="2"/>
      <c r="P661" s="2"/>
      <c r="Q661" s="2"/>
      <c r="R661" s="2"/>
      <c r="S661" s="2"/>
      <c r="T661" s="2"/>
      <c r="U661" s="2"/>
      <c r="V661" s="2"/>
      <c r="W661" s="2"/>
      <c r="X661" s="2"/>
      <c r="Y661" s="2"/>
      <c r="Z661" s="2"/>
    </row>
    <row r="662">
      <c r="A662" s="2" t="str">
        <f>IFERROR(__xludf.DUMMYFUNCTION("""COMPUTED_VALUE"""),"Ring of Sticky FIngers")</f>
        <v>Ring of Sticky FIngers</v>
      </c>
      <c r="B662" s="2"/>
      <c r="C662" s="2"/>
      <c r="D662" s="2" t="str">
        <f>IFERROR(__xludf.DUMMYFUNCTION("""COMPUTED_VALUE"""),"Ring")</f>
        <v>Ring</v>
      </c>
      <c r="E662" s="2">
        <f>IFERROR(__xludf.DUMMYFUNCTION("""COMPUTED_VALUE"""),1.0)</f>
        <v>1</v>
      </c>
      <c r="F662" s="2" t="str">
        <f>IFERROR(__xludf.DUMMYFUNCTION("""COMPUTED_VALUE""")," ++Sticky FIngers - Allows you to use confiscate, take, and pickpocket skills twice +-(Marauder Class Only)")</f>
        <v> ++Sticky FIngers - Allows you to use confiscate, take, and pickpocket skills twice +-(Marauder Class Only)</v>
      </c>
      <c r="G662" s="2">
        <f>IFERROR(__xludf.DUMMYFUNCTION("""COMPUTED_VALUE"""),0.0)</f>
        <v>0</v>
      </c>
      <c r="H662" s="2"/>
      <c r="I662" s="2"/>
      <c r="J662" s="2"/>
      <c r="K662" s="2"/>
      <c r="L662" s="2"/>
      <c r="M662" s="2"/>
      <c r="N662" s="2"/>
      <c r="O662" s="2"/>
      <c r="P662" s="2"/>
      <c r="Q662" s="2"/>
      <c r="R662" s="2"/>
      <c r="S662" s="2"/>
      <c r="T662" s="2"/>
      <c r="U662" s="2"/>
      <c r="V662" s="2"/>
      <c r="W662" s="2"/>
      <c r="X662" s="2"/>
      <c r="Y662" s="2"/>
      <c r="Z662" s="2"/>
    </row>
    <row r="663">
      <c r="A663" s="2" t="str">
        <f>IFERROR(__xludf.DUMMYFUNCTION("""COMPUTED_VALUE"""),"Spirit Furnace")</f>
        <v>Spirit Furnace</v>
      </c>
      <c r="B663" s="2"/>
      <c r="C663" s="2"/>
      <c r="D663" s="2" t="str">
        <f>IFERROR(__xludf.DUMMYFUNCTION("""COMPUTED_VALUE"""),"Neck")</f>
        <v>Neck</v>
      </c>
      <c r="E663" s="2">
        <f>IFERROR(__xludf.DUMMYFUNCTION("""COMPUTED_VALUE"""),1.0)</f>
        <v>1</v>
      </c>
      <c r="F663" s="2" t="str">
        <f>IFERROR(__xludf.DUMMYFUNCTION("""COMPUTED_VALUE""")," ++Cultivation - If you have not yet attacked during the current battle you deal X4 additional damage during your next attack.. +-(Monk Class Only)")</f>
        <v> ++Cultivation - If you have not yet attacked during the current battle you deal X4 additional damage during your next attack.. +-(Monk Class Only)</v>
      </c>
      <c r="G663" s="2">
        <f>IFERROR(__xludf.DUMMYFUNCTION("""COMPUTED_VALUE"""),0.0)</f>
        <v>0</v>
      </c>
      <c r="H663" s="2"/>
      <c r="I663" s="2"/>
      <c r="J663" s="2"/>
      <c r="K663" s="2"/>
      <c r="L663" s="2"/>
      <c r="M663" s="2"/>
      <c r="N663" s="2"/>
      <c r="O663" s="2"/>
      <c r="P663" s="2"/>
      <c r="Q663" s="2"/>
      <c r="R663" s="2"/>
      <c r="S663" s="2"/>
      <c r="T663" s="2"/>
      <c r="U663" s="2"/>
      <c r="V663" s="2"/>
      <c r="W663" s="2"/>
      <c r="X663" s="2"/>
      <c r="Y663" s="2"/>
      <c r="Z663" s="2"/>
    </row>
    <row r="664">
      <c r="A664" s="2" t="str">
        <f>IFERROR(__xludf.DUMMYFUNCTION("""COMPUTED_VALUE"""),"Smokebomb Pouch")</f>
        <v>Smokebomb Pouch</v>
      </c>
      <c r="B664" s="2"/>
      <c r="C664" s="2"/>
      <c r="D664" s="2" t="str">
        <f>IFERROR(__xludf.DUMMYFUNCTION("""COMPUTED_VALUE"""),"Legs")</f>
        <v>Legs</v>
      </c>
      <c r="E664" s="2">
        <f>IFERROR(__xludf.DUMMYFUNCTION("""COMPUTED_VALUE"""),1.0)</f>
        <v>1</v>
      </c>
      <c r="F664" s="2" t="str">
        <f>IFERROR(__xludf.DUMMYFUNCTION("""COMPUTED_VALUE""")," ++Smoke Bomb - Conceal abilities are guaranteed to succeed +-(Ninja Class Only)")</f>
        <v> ++Smoke Bomb - Conceal abilities are guaranteed to succeed +-(Ninja Class Only)</v>
      </c>
      <c r="G664" s="2">
        <f>IFERROR(__xludf.DUMMYFUNCTION("""COMPUTED_VALUE"""),0.0)</f>
        <v>0</v>
      </c>
      <c r="H664" s="2"/>
      <c r="I664" s="2"/>
      <c r="J664" s="2"/>
      <c r="K664" s="2"/>
      <c r="L664" s="2"/>
      <c r="M664" s="2"/>
      <c r="N664" s="2"/>
      <c r="O664" s="2"/>
      <c r="P664" s="2"/>
      <c r="Q664" s="2"/>
      <c r="R664" s="2"/>
      <c r="S664" s="2"/>
      <c r="T664" s="2"/>
      <c r="U664" s="2"/>
      <c r="V664" s="2"/>
      <c r="W664" s="2"/>
      <c r="X664" s="2"/>
      <c r="Y664" s="2"/>
      <c r="Z664" s="2"/>
    </row>
    <row r="665">
      <c r="A665" s="2" t="str">
        <f>IFERROR(__xludf.DUMMYFUNCTION("""COMPUTED_VALUE"""),"Certificate of Shield Bashing School")</f>
        <v>Certificate of Shield Bashing School</v>
      </c>
      <c r="B665" s="2"/>
      <c r="C665" s="2"/>
      <c r="D665" s="2" t="str">
        <f>IFERROR(__xludf.DUMMYFUNCTION("""COMPUTED_VALUE"""),"Neck")</f>
        <v>Neck</v>
      </c>
      <c r="E665" s="2">
        <f>IFERROR(__xludf.DUMMYFUNCTION("""COMPUTED_VALUE"""),1.0)</f>
        <v>1</v>
      </c>
      <c r="F665" s="2" t="str">
        <f>IFERROR(__xludf.DUMMYFUNCTION("""COMPUTED_VALUE""")," ++Shield Bash Extraordinaire - When attacking with a shield you may add your mobility bonus to the attack roll +-(Paladin Class Only)")</f>
        <v> ++Shield Bash Extraordinaire - When attacking with a shield you may add your mobility bonus to the attack roll +-(Paladin Class Only)</v>
      </c>
      <c r="G665" s="2">
        <f>IFERROR(__xludf.DUMMYFUNCTION("""COMPUTED_VALUE"""),0.0)</f>
        <v>0</v>
      </c>
      <c r="H665" s="2"/>
      <c r="I665" s="2"/>
      <c r="J665" s="2"/>
      <c r="K665" s="2"/>
      <c r="L665" s="2"/>
      <c r="M665" s="2"/>
      <c r="N665" s="2"/>
      <c r="O665" s="2"/>
      <c r="P665" s="2"/>
      <c r="Q665" s="2"/>
      <c r="R665" s="2"/>
      <c r="S665" s="2"/>
      <c r="T665" s="2"/>
      <c r="U665" s="2"/>
      <c r="V665" s="2"/>
      <c r="W665" s="2"/>
      <c r="X665" s="2"/>
      <c r="Y665" s="2"/>
      <c r="Z665" s="2"/>
    </row>
    <row r="666">
      <c r="A666" s="2" t="str">
        <f>IFERROR(__xludf.DUMMYFUNCTION("""COMPUTED_VALUE"""),"Goblet of Greed")</f>
        <v>Goblet of Greed</v>
      </c>
      <c r="B666" s="2"/>
      <c r="C666" s="2"/>
      <c r="D666" s="2" t="str">
        <f>IFERROR(__xludf.DUMMYFUNCTION("""COMPUTED_VALUE"""),"Neck")</f>
        <v>Neck</v>
      </c>
      <c r="E666" s="2">
        <f>IFERROR(__xludf.DUMMYFUNCTION("""COMPUTED_VALUE"""),1.0)</f>
        <v>1</v>
      </c>
      <c r="F666" s="2" t="str">
        <f>IFERROR(__xludf.DUMMYFUNCTION("""COMPUTED_VALUE""")," ++MORE!!! MOOOORE!!!!! - multiply your damage by X*2 until the end of battle where X is equal to the amount of times you stole from someone during battle. +-(Pirate Class Only)")</f>
        <v> ++MORE!!! MOOOORE!!!!! - multiply your damage by X*2 until the end of battle where X is equal to the amount of times you stole from someone during battle. +-(Pirate Class Only)</v>
      </c>
      <c r="G666" s="2">
        <f>IFERROR(__xludf.DUMMYFUNCTION("""COMPUTED_VALUE"""),0.0)</f>
        <v>0</v>
      </c>
      <c r="H666" s="2"/>
      <c r="I666" s="2"/>
      <c r="J666" s="2"/>
      <c r="K666" s="2"/>
      <c r="L666" s="2"/>
      <c r="M666" s="2"/>
      <c r="N666" s="2"/>
      <c r="O666" s="2"/>
      <c r="P666" s="2"/>
      <c r="Q666" s="2"/>
      <c r="R666" s="2"/>
      <c r="S666" s="2"/>
      <c r="T666" s="2"/>
      <c r="U666" s="2"/>
      <c r="V666" s="2"/>
      <c r="W666" s="2"/>
      <c r="X666" s="2"/>
      <c r="Y666" s="2"/>
      <c r="Z666" s="2"/>
    </row>
    <row r="667">
      <c r="A667" s="2" t="str">
        <f>IFERROR(__xludf.DUMMYFUNCTION("""COMPUTED_VALUE"""),"Holy Symbol")</f>
        <v>Holy Symbol</v>
      </c>
      <c r="B667" s="2"/>
      <c r="C667" s="2"/>
      <c r="D667" s="2" t="str">
        <f>IFERROR(__xludf.DUMMYFUNCTION("""COMPUTED_VALUE"""),"Neck")</f>
        <v>Neck</v>
      </c>
      <c r="E667" s="2">
        <f>IFERROR(__xludf.DUMMYFUNCTION("""COMPUTED_VALUE"""),1.0)</f>
        <v>1</v>
      </c>
      <c r="F667" s="2" t="str">
        <f>IFERROR(__xludf.DUMMYFUNCTION("""COMPUTED_VALUE""")," ++Holy Prescence - You can prevent 1 curse, disease, or possesion from affecting a party member once per battle/journey. +-(Priest Class Only)")</f>
        <v> ++Holy Prescence - You can prevent 1 curse, disease, or possesion from affecting a party member once per battle/journey. +-(Priest Class Only)</v>
      </c>
      <c r="G667" s="2">
        <f>IFERROR(__xludf.DUMMYFUNCTION("""COMPUTED_VALUE"""),0.0)</f>
        <v>0</v>
      </c>
      <c r="H667" s="2"/>
      <c r="I667" s="2"/>
      <c r="J667" s="2"/>
      <c r="K667" s="2"/>
      <c r="L667" s="2"/>
      <c r="M667" s="2"/>
      <c r="N667" s="2"/>
      <c r="O667" s="2"/>
      <c r="P667" s="2"/>
      <c r="Q667" s="2"/>
      <c r="R667" s="2"/>
      <c r="S667" s="2"/>
      <c r="T667" s="2"/>
      <c r="U667" s="2"/>
      <c r="V667" s="2"/>
      <c r="W667" s="2"/>
      <c r="X667" s="2"/>
      <c r="Y667" s="2"/>
      <c r="Z667" s="2"/>
    </row>
    <row r="668">
      <c r="A668" s="2" t="str">
        <f>IFERROR(__xludf.DUMMYFUNCTION("""COMPUTED_VALUE"""),"Mysterious Merchant's Scythe")</f>
        <v>Mysterious Merchant's Scythe</v>
      </c>
      <c r="B668" s="2" t="str">
        <f>IFERROR(__xludf.DUMMYFUNCTION("""COMPUTED_VALUE"""),"The scythe of the mysterious merchant himself imbued with a great power")</f>
        <v>The scythe of the mysterious merchant himself imbued with a great power</v>
      </c>
      <c r="C668" s="2" t="str">
        <f>IFERROR(__xludf.DUMMYFUNCTION("""COMPUTED_VALUE"""),"Scythe")</f>
        <v>Scythe</v>
      </c>
      <c r="D668" s="2" t="str">
        <f>IFERROR(__xludf.DUMMYFUNCTION("""COMPUTED_VALUE"""),"Hand")</f>
        <v>Hand</v>
      </c>
      <c r="E668" s="2">
        <f>IFERROR(__xludf.DUMMYFUNCTION("""COMPUTED_VALUE"""),1000.0)</f>
        <v>1000</v>
      </c>
      <c r="F668" s="2" t="str">
        <f>IFERROR(__xludf.DUMMYFUNCTION("""COMPUTED_VALUE"""),", Spirit DMG: +50000 ++Burning Souls - This weapon can devour up to 100 souls to increase it's damage by X*1000 with X representing the souls imbued. When at maximum souls Imbued you can unleash an attack dealing 500,000 Spirit damage to all enemies but s"&amp;"tunning you until the end of battle. +-(Reaper Class Only). ++(0/100 Souls imbued)")</f>
        <v>, Spirit DMG: +50000 ++Burning Souls - This weapon can devour up to 100 souls to increase it's damage by X*1000 with X representing the souls imbued. When at maximum souls Imbued you can unleash an attack dealing 500,000 Spirit damage to all enemies but stunning you until the end of battle. +-(Reaper Class Only). ++(0/100 Souls imbued)</v>
      </c>
      <c r="G668" s="2">
        <f>IFERROR(__xludf.DUMMYFUNCTION("""COMPUTED_VALUE"""),4.95E7)</f>
        <v>49500000</v>
      </c>
      <c r="H668" s="2"/>
      <c r="I668" s="2"/>
      <c r="J668" s="2"/>
      <c r="K668" s="2"/>
      <c r="L668" s="2"/>
      <c r="M668" s="2"/>
      <c r="N668" s="2"/>
      <c r="O668" s="2"/>
      <c r="P668" s="2"/>
      <c r="Q668" s="2"/>
      <c r="R668" s="2"/>
      <c r="S668" s="2"/>
      <c r="T668" s="2"/>
      <c r="U668" s="2"/>
      <c r="V668" s="2"/>
      <c r="W668" s="2"/>
      <c r="X668" s="2"/>
      <c r="Y668" s="2"/>
      <c r="Z668" s="2"/>
    </row>
    <row r="669">
      <c r="A669" s="2" t="str">
        <f>IFERROR(__xludf.DUMMYFUNCTION("""COMPUTED_VALUE"""),"Cursed Saya")</f>
        <v>Cursed Saya</v>
      </c>
      <c r="B669" s="2" t="str">
        <f>IFERROR(__xludf.DUMMYFUNCTION("""COMPUTED_VALUE"""),"A saya unearthed in an ancient temple, those wearing this saya feel an unbeleivable surge of joy and power seeing their opponents in a weakend state.")</f>
        <v>A saya unearthed in an ancient temple, those wearing this saya feel an unbeleivable surge of joy and power seeing their opponents in a weakend state.</v>
      </c>
      <c r="C669" s="2"/>
      <c r="D669" s="2" t="str">
        <f>IFERROR(__xludf.DUMMYFUNCTION("""COMPUTED_VALUE"""),"Legs")</f>
        <v>Legs</v>
      </c>
      <c r="E669" s="2">
        <f>IFERROR(__xludf.DUMMYFUNCTION("""COMPUTED_VALUE"""),1.0)</f>
        <v>1</v>
      </c>
      <c r="F669" s="2" t="str">
        <f>IFERROR(__xludf.DUMMYFUNCTION("""COMPUTED_VALUE""")," ++Debilitating Strike - When attacking an enemy with your weapon deal X2 damage for every negative effect inflicted on that enemy +-(Samurai Class Only)")</f>
        <v> ++Debilitating Strike - When attacking an enemy with your weapon deal X2 damage for every negative effect inflicted on that enemy +-(Samurai Class Only)</v>
      </c>
      <c r="G669" s="2">
        <f>IFERROR(__xludf.DUMMYFUNCTION("""COMPUTED_VALUE"""),0.0)</f>
        <v>0</v>
      </c>
      <c r="H669" s="2"/>
      <c r="I669" s="2"/>
      <c r="J669" s="2"/>
      <c r="K669" s="2"/>
      <c r="L669" s="2"/>
      <c r="M669" s="2"/>
      <c r="N669" s="2"/>
      <c r="O669" s="2"/>
      <c r="P669" s="2"/>
      <c r="Q669" s="2"/>
      <c r="R669" s="2"/>
      <c r="S669" s="2"/>
      <c r="T669" s="2"/>
      <c r="U669" s="2"/>
      <c r="V669" s="2"/>
      <c r="W669" s="2"/>
      <c r="X669" s="2"/>
      <c r="Y669" s="2"/>
      <c r="Z669" s="2"/>
    </row>
    <row r="670">
      <c r="A670" s="2" t="str">
        <f>IFERROR(__xludf.DUMMYFUNCTION("""COMPUTED_VALUE"""),"Shamanic Staff")</f>
        <v>Shamanic Staff</v>
      </c>
      <c r="B670" s="2" t="str">
        <f>IFERROR(__xludf.DUMMYFUNCTION("""COMPUTED_VALUE"""),"A long staff made with elder wood, the magic focus of this weapon is a piece of Hanged Man's Jasper, a rare gemstone with a high affinity for spirit magic.")</f>
        <v>A long staff made with elder wood, the magic focus of this weapon is a piece of Hanged Man's Jasper, a rare gemstone with a high affinity for spirit magic.</v>
      </c>
      <c r="C670" s="2" t="str">
        <f>IFERROR(__xludf.DUMMYFUNCTION("""COMPUTED_VALUE"""),"Staff")</f>
        <v>Staff</v>
      </c>
      <c r="D670" s="2" t="str">
        <f>IFERROR(__xludf.DUMMYFUNCTION("""COMPUTED_VALUE"""),"Hand")</f>
        <v>Hand</v>
      </c>
      <c r="E670" s="2">
        <f>IFERROR(__xludf.DUMMYFUNCTION("""COMPUTED_VALUE"""),1500.0)</f>
        <v>1500</v>
      </c>
      <c r="F670" s="2" t="str">
        <f>IFERROR(__xludf.DUMMYFUNCTION("""COMPUTED_VALUE"""),", Fire DMG: +25000, Spirit DMG: +25000, Voodoo DMG: +25000 ++In Tandem - When attacking any enemy that your spirit has previously targetted you gain a +5 to attack rolls against that enemy. Cost: 500 sp")</f>
        <v>, Fire DMG: +25000, Spirit DMG: +25000, Voodoo DMG: +25000 ++In Tandem - When attacking any enemy that your spirit has previously targetted you gain a +5 to attack rolls against that enemy. Cost: 500 sp</v>
      </c>
      <c r="G670" s="2">
        <f>IFERROR(__xludf.DUMMYFUNCTION("""COMPUTED_VALUE"""),1.1175E8)</f>
        <v>111750000</v>
      </c>
      <c r="H670" s="2"/>
      <c r="I670" s="2"/>
      <c r="J670" s="2"/>
      <c r="K670" s="2"/>
      <c r="L670" s="2"/>
      <c r="M670" s="2"/>
      <c r="N670" s="2"/>
      <c r="O670" s="2"/>
      <c r="P670" s="2"/>
      <c r="Q670" s="2"/>
      <c r="R670" s="2"/>
      <c r="S670" s="2"/>
      <c r="T670" s="2"/>
      <c r="U670" s="2"/>
      <c r="V670" s="2"/>
      <c r="W670" s="2"/>
      <c r="X670" s="2"/>
      <c r="Y670" s="2"/>
      <c r="Z670" s="2"/>
    </row>
    <row r="671">
      <c r="A671" s="2" t="str">
        <f>IFERROR(__xludf.DUMMYFUNCTION("""COMPUTED_VALUE"""),"Rune Necklace")</f>
        <v>Rune Necklace</v>
      </c>
      <c r="B671" s="2" t="str">
        <f>IFERROR(__xludf.DUMMYFUNCTION("""COMPUTED_VALUE"""),"A necklace given to Shaman's upon completeing their rite, to be a High shaman, the spirits recognize this as a sign of power and bow to those wearing this necklace.")</f>
        <v>A necklace given to Shaman's upon completeing their rite, to be a High shaman, the spirits recognize this as a sign of power and bow to those wearing this necklace.</v>
      </c>
      <c r="C671" s="2"/>
      <c r="D671" s="2" t="str">
        <f>IFERROR(__xludf.DUMMYFUNCTION("""COMPUTED_VALUE"""),"Neck")</f>
        <v>Neck</v>
      </c>
      <c r="E671" s="2">
        <f>IFERROR(__xludf.DUMMYFUNCTION("""COMPUTED_VALUE"""),1.0)</f>
        <v>1</v>
      </c>
      <c r="F671" s="2" t="str">
        <f>IFERROR(__xludf.DUMMYFUNCTION("""COMPUTED_VALUE""")," ++Spirit's Friend - Any summoned Spirit gains +5 to all perks and X2 base stats +-(Shaman Class Only)")</f>
        <v> ++Spirit's Friend - Any summoned Spirit gains +5 to all perks and X2 base stats +-(Shaman Class Only)</v>
      </c>
      <c r="G671" s="2">
        <f>IFERROR(__xludf.DUMMYFUNCTION("""COMPUTED_VALUE"""),0.0)</f>
        <v>0</v>
      </c>
      <c r="H671" s="2"/>
      <c r="I671" s="2"/>
      <c r="J671" s="2"/>
      <c r="K671" s="2"/>
      <c r="L671" s="2"/>
      <c r="M671" s="2"/>
      <c r="N671" s="2"/>
      <c r="O671" s="2"/>
      <c r="P671" s="2"/>
      <c r="Q671" s="2"/>
      <c r="R671" s="2"/>
      <c r="S671" s="2"/>
      <c r="T671" s="2"/>
      <c r="U671" s="2"/>
      <c r="V671" s="2"/>
      <c r="W671" s="2"/>
      <c r="X671" s="2"/>
      <c r="Y671" s="2"/>
      <c r="Z671" s="2"/>
    </row>
    <row r="672">
      <c r="A672" s="2" t="str">
        <f>IFERROR(__xludf.DUMMYFUNCTION("""COMPUTED_VALUE"""),"Spell Sponge")</f>
        <v>Spell Sponge</v>
      </c>
      <c r="B672" s="2" t="str">
        <f>IFERROR(__xludf.DUMMYFUNCTION("""COMPUTED_VALUE"""),"A mushroom found rarely in an unknown cave within Spira it has high magic absorption powers and those with magical bloodlines can weild these to great effect to reverse their enemies back upon them.")</f>
        <v>A mushroom found rarely in an unknown cave within Spira it has high magic absorption powers and those with magical bloodlines can weild these to great effect to reverse their enemies back upon them.</v>
      </c>
      <c r="C672" s="2"/>
      <c r="D672" s="2" t="str">
        <f>IFERROR(__xludf.DUMMYFUNCTION("""COMPUTED_VALUE"""),"Neck")</f>
        <v>Neck</v>
      </c>
      <c r="E672" s="2">
        <f>IFERROR(__xludf.DUMMYFUNCTION("""COMPUTED_VALUE"""),1.0)</f>
        <v>1</v>
      </c>
      <c r="F672" s="2" t="str">
        <f>IFERROR(__xludf.DUMMYFUNCTION("""COMPUTED_VALUE""")," ++Spell Sponge - If you are unaffected by a spell casted by an enemy you can choose to immediately cast the same spell back at them even if you don't have the spell equipped or don't know the spell +-(Mage, Wizard, and Sorcerer Class Only)")</f>
        <v> ++Spell Sponge - If you are unaffected by a spell casted by an enemy you can choose to immediately cast the same spell back at them even if you don't have the spell equipped or don't know the spell +-(Mage, Wizard, and Sorcerer Class Only)</v>
      </c>
      <c r="G672" s="2">
        <f>IFERROR(__xludf.DUMMYFUNCTION("""COMPUTED_VALUE"""),0.0)</f>
        <v>0</v>
      </c>
      <c r="H672" s="2"/>
      <c r="I672" s="2"/>
      <c r="J672" s="2"/>
      <c r="K672" s="2"/>
      <c r="L672" s="2"/>
      <c r="M672" s="2"/>
      <c r="N672" s="2"/>
      <c r="O672" s="2"/>
      <c r="P672" s="2"/>
      <c r="Q672" s="2"/>
      <c r="R672" s="2"/>
      <c r="S672" s="2"/>
      <c r="T672" s="2"/>
      <c r="U672" s="2"/>
      <c r="V672" s="2"/>
      <c r="W672" s="2"/>
      <c r="X672" s="2"/>
      <c r="Y672" s="2"/>
      <c r="Z672" s="2"/>
    </row>
    <row r="673">
      <c r="A673" s="2" t="str">
        <f>IFERROR(__xludf.DUMMYFUNCTION("""COMPUTED_VALUE"""),"Viking's Warpaint")</f>
        <v>Viking's Warpaint</v>
      </c>
      <c r="B673" s="2" t="str">
        <f>IFERROR(__xludf.DUMMYFUNCTION("""COMPUTED_VALUE"""),"A set of primitive paint imported from Knappadalr, for some reason these paints fill you with rage.")</f>
        <v>A set of primitive paint imported from Knappadalr, for some reason these paints fill you with rage.</v>
      </c>
      <c r="C673" s="2"/>
      <c r="D673" s="2" t="str">
        <f>IFERROR(__xludf.DUMMYFUNCTION("""COMPUTED_VALUE"""),"Head")</f>
        <v>Head</v>
      </c>
      <c r="E673" s="2">
        <f>IFERROR(__xludf.DUMMYFUNCTION("""COMPUTED_VALUE"""),1.0)</f>
        <v>1</v>
      </c>
      <c r="F673" s="2" t="str">
        <f>IFERROR(__xludf.DUMMYFUNCTION("""COMPUTED_VALUE""")," ++Rage - When you either parry or are unaffected by a weapon attack your next attack deals X4 damage +-(Viking Class Only)")</f>
        <v> ++Rage - When you either parry or are unaffected by a weapon attack your next attack deals X4 damage +-(Viking Class Only)</v>
      </c>
      <c r="G673" s="2">
        <f>IFERROR(__xludf.DUMMYFUNCTION("""COMPUTED_VALUE"""),0.0)</f>
        <v>0</v>
      </c>
      <c r="H673" s="2"/>
      <c r="I673" s="2"/>
      <c r="J673" s="2"/>
      <c r="K673" s="2"/>
      <c r="L673" s="2"/>
      <c r="M673" s="2"/>
      <c r="N673" s="2"/>
      <c r="O673" s="2"/>
      <c r="P673" s="2"/>
      <c r="Q673" s="2"/>
      <c r="R673" s="2"/>
      <c r="S673" s="2"/>
      <c r="T673" s="2"/>
      <c r="U673" s="2"/>
      <c r="V673" s="2"/>
      <c r="W673" s="2"/>
      <c r="X673" s="2"/>
      <c r="Y673" s="2"/>
      <c r="Z673" s="2"/>
    </row>
    <row r="674">
      <c r="A674" s="2" t="str">
        <f>IFERROR(__xludf.DUMMYFUNCTION("""COMPUTED_VALUE"""),"Speed Shoes")</f>
        <v>Speed Shoes</v>
      </c>
      <c r="B674" s="2" t="str">
        <f>IFERROR(__xludf.DUMMYFUNCTION("""COMPUTED_VALUE"""),"A pair of red shoes that make you feel like dancing.")</f>
        <v>A pair of red shoes that make you feel like dancing.</v>
      </c>
      <c r="C674" s="2"/>
      <c r="D674" s="2" t="str">
        <f>IFERROR(__xludf.DUMMYFUNCTION("""COMPUTED_VALUE"""),"Feet")</f>
        <v>Feet</v>
      </c>
      <c r="E674" s="2">
        <f>IFERROR(__xludf.DUMMYFUNCTION("""COMPUTED_VALUE"""),1.0)</f>
        <v>1</v>
      </c>
      <c r="F674" s="2" t="str">
        <f>IFERROR(__xludf.DUMMYFUNCTION("""COMPUTED_VALUE""")," ++Can't Touch This - When you successfully dodge an attack you can immediate attack with a weapon attack +-(Warrior Class Only)")</f>
        <v> ++Can't Touch This - When you successfully dodge an attack you can immediate attack with a weapon attack +-(Warrior Class Only)</v>
      </c>
      <c r="G674" s="2">
        <f>IFERROR(__xludf.DUMMYFUNCTION("""COMPUTED_VALUE"""),0.0)</f>
        <v>0</v>
      </c>
      <c r="H674" s="2"/>
      <c r="I674" s="2"/>
      <c r="J674" s="2"/>
      <c r="K674" s="2"/>
      <c r="L674" s="2"/>
      <c r="M674" s="2"/>
      <c r="N674" s="2"/>
      <c r="O674" s="2"/>
      <c r="P674" s="2"/>
      <c r="Q674" s="2"/>
      <c r="R674" s="2"/>
      <c r="S674" s="2"/>
      <c r="T674" s="2"/>
      <c r="U674" s="2"/>
      <c r="V674" s="2"/>
      <c r="W674" s="2"/>
      <c r="X674" s="2"/>
      <c r="Y674" s="2"/>
      <c r="Z674" s="2"/>
    </row>
    <row r="675">
      <c r="A675" s="2" t="str">
        <f>IFERROR(__xludf.DUMMYFUNCTION("""COMPUTED_VALUE"""),"Book of Hexes")</f>
        <v>Book of Hexes</v>
      </c>
      <c r="B675" s="2" t="str">
        <f>IFERROR(__xludf.DUMMYFUNCTION("""COMPUTED_VALUE"""),"The staple item for a witch.")</f>
        <v>The staple item for a witch.</v>
      </c>
      <c r="C675" s="2"/>
      <c r="D675" s="2" t="str">
        <f>IFERROR(__xludf.DUMMYFUNCTION("""COMPUTED_VALUE"""),"Legs")</f>
        <v>Legs</v>
      </c>
      <c r="E675" s="2">
        <f>IFERROR(__xludf.DUMMYFUNCTION("""COMPUTED_VALUE"""),1.0)</f>
        <v>1</v>
      </c>
      <c r="F675" s="2" t="str">
        <f>IFERROR(__xludf.DUMMYFUNCTION("""COMPUTED_VALUE""")," ++Hex - Any enemy you inflict with a debuff takes X2 additional damage from the self and all allies. +-(Witch Class Only)")</f>
        <v> ++Hex - Any enemy you inflict with a debuff takes X2 additional damage from the self and all allies. +-(Witch Class Only)</v>
      </c>
      <c r="G675" s="2">
        <f>IFERROR(__xludf.DUMMYFUNCTION("""COMPUTED_VALUE"""),0.0)</f>
        <v>0</v>
      </c>
      <c r="H675" s="2"/>
      <c r="I675" s="2"/>
      <c r="J675" s="2"/>
      <c r="K675" s="2"/>
      <c r="L675" s="2"/>
      <c r="M675" s="2"/>
      <c r="N675" s="2"/>
      <c r="O675" s="2"/>
      <c r="P675" s="2"/>
      <c r="Q675" s="2"/>
      <c r="R675" s="2"/>
      <c r="S675" s="2"/>
      <c r="T675" s="2"/>
      <c r="U675" s="2"/>
      <c r="V675" s="2"/>
      <c r="W675" s="2"/>
      <c r="X675" s="2"/>
      <c r="Y675" s="2"/>
      <c r="Z675" s="2"/>
    </row>
    <row r="676">
      <c r="A676" s="2" t="str">
        <f>IFERROR(__xludf.DUMMYFUNCTION("""COMPUTED_VALUE"""),"Ring of Boring")</f>
        <v>Ring of Boring</v>
      </c>
      <c r="B676" s="2" t="str">
        <f>IFERROR(__xludf.DUMMYFUNCTION("""COMPUTED_VALUE"""),"The item for people who made a character but decided they were ""too good"" for it's abilities.")</f>
        <v>The item for people who made a character but decided they were "too good" for it's abilities.</v>
      </c>
      <c r="C676" s="2"/>
      <c r="D676" s="2" t="str">
        <f>IFERROR(__xludf.DUMMYFUNCTION("""COMPUTED_VALUE"""),"Finger")</f>
        <v>Finger</v>
      </c>
      <c r="E676" s="2">
        <f>IFERROR(__xludf.DUMMYFUNCTION("""COMPUTED_VALUE"""),1.0)</f>
        <v>1</v>
      </c>
      <c r="F676" s="2" t="str">
        <f>IFERROR(__xludf.DUMMYFUNCTION("""COMPUTED_VALUE""")," ++Why are you so boring? - X2 additional damage.")</f>
        <v> ++Why are you so boring? - X2 additional damage.</v>
      </c>
      <c r="G676" s="2">
        <f>IFERROR(__xludf.DUMMYFUNCTION("""COMPUTED_VALUE"""),0.0)</f>
        <v>0</v>
      </c>
      <c r="H676" s="2"/>
      <c r="I676" s="2"/>
      <c r="J676" s="2"/>
      <c r="K676" s="2"/>
      <c r="L676" s="2"/>
      <c r="M676" s="2"/>
      <c r="N676" s="2"/>
      <c r="O676" s="2"/>
      <c r="P676" s="2"/>
      <c r="Q676" s="2"/>
      <c r="R676" s="2"/>
      <c r="S676" s="2"/>
      <c r="T676" s="2"/>
      <c r="U676" s="2"/>
      <c r="V676" s="2"/>
      <c r="W676" s="2"/>
      <c r="X676" s="2"/>
      <c r="Y676" s="2"/>
      <c r="Z676" s="2"/>
    </row>
    <row r="677">
      <c r="A677" s="2" t="str">
        <f>IFERROR(__xludf.DUMMYFUNCTION("""COMPUTED_VALUE"""),"Frozen Spearman's High-Low Dress")</f>
        <v>Frozen Spearman's High-Low Dress</v>
      </c>
      <c r="B677" s="2"/>
      <c r="C677" s="2"/>
      <c r="D677" s="2" t="str">
        <f>IFERROR(__xludf.DUMMYFUNCTION("""COMPUTED_VALUE"""),"Torso")</f>
        <v>Torso</v>
      </c>
      <c r="E677" s="2">
        <f>IFERROR(__xludf.DUMMYFUNCTION("""COMPUTED_VALUE"""),200.0)</f>
        <v>200</v>
      </c>
      <c r="F677" s="2" t="str">
        <f>IFERROR(__xludf.DUMMYFUNCTION("""COMPUTED_VALUE"""),"DEF: +25000, Earth DEF: +25000, Nature DEF: +25000, Celestial DEF: +25000 ++Regal Authority - At the start of battle there's a 25% chance of recruiting one enemy to join you (100% if they are a player with a starting town in any tundra region) This counts"&amp;" as possession for the purposes of immunity")</f>
        <v>DEF: +25000, Earth DEF: +25000, Nature DEF: +25000, Celestial DEF: +25000 ++Regal Authority - At the start of battle there's a 25% chance of recruiting one enemy to join you (100% if they are a player with a starting town in any tundra region) This counts as possession for the purposes of immunity</v>
      </c>
      <c r="G677" s="2">
        <f>IFERROR(__xludf.DUMMYFUNCTION("""COMPUTED_VALUE"""),1.99E8)</f>
        <v>199000000</v>
      </c>
      <c r="H677" s="2"/>
      <c r="I677" s="2"/>
      <c r="J677" s="2"/>
      <c r="K677" s="2"/>
      <c r="L677" s="2"/>
      <c r="M677" s="2"/>
      <c r="N677" s="2"/>
      <c r="O677" s="2"/>
      <c r="P677" s="2"/>
      <c r="Q677" s="2"/>
      <c r="R677" s="2"/>
      <c r="S677" s="2"/>
      <c r="T677" s="2"/>
      <c r="U677" s="2"/>
      <c r="V677" s="2"/>
      <c r="W677" s="2"/>
      <c r="X677" s="2"/>
      <c r="Y677" s="2"/>
      <c r="Z677" s="2"/>
    </row>
    <row r="678">
      <c r="A678" s="2" t="str">
        <f>IFERROR(__xludf.DUMMYFUNCTION("""COMPUTED_VALUE"""),"Frozen Spearman's Jhodpur's")</f>
        <v>Frozen Spearman's Jhodpur's</v>
      </c>
      <c r="B678" s="2"/>
      <c r="C678" s="2"/>
      <c r="D678" s="2" t="str">
        <f>IFERROR(__xludf.DUMMYFUNCTION("""COMPUTED_VALUE"""),"Legs")</f>
        <v>Legs</v>
      </c>
      <c r="E678" s="2">
        <f>IFERROR(__xludf.DUMMYFUNCTION("""COMPUTED_VALUE"""),200.0)</f>
        <v>200</v>
      </c>
      <c r="F678" s="2" t="str">
        <f>IFERROR(__xludf.DUMMYFUNCTION("""COMPUTED_VALUE"""),"DEF: +25000, Earth DEF: +25000, Nature DEF: +25000, Celestial DEF: +25000 ++Cavalry Charge - Summon a frosty steed to run down your enemies dealing 50,000 unavoidable Storm damage with a 15% chance of freeing all enemies - 500 sp")</f>
        <v>DEF: +25000, Earth DEF: +25000, Nature DEF: +25000, Celestial DEF: +25000 ++Cavalry Charge - Summon a frosty steed to run down your enemies dealing 50,000 unavoidable Storm damage with a 15% chance of freeing all enemies - 500 sp</v>
      </c>
      <c r="G678" s="2">
        <f>IFERROR(__xludf.DUMMYFUNCTION("""COMPUTED_VALUE"""),1.99E8)</f>
        <v>199000000</v>
      </c>
      <c r="H678" s="2"/>
      <c r="I678" s="2"/>
      <c r="J678" s="2"/>
      <c r="K678" s="2"/>
      <c r="L678" s="2"/>
      <c r="M678" s="2"/>
      <c r="N678" s="2"/>
      <c r="O678" s="2"/>
      <c r="P678" s="2"/>
      <c r="Q678" s="2"/>
      <c r="R678" s="2"/>
      <c r="S678" s="2"/>
      <c r="T678" s="2"/>
      <c r="U678" s="2"/>
      <c r="V678" s="2"/>
      <c r="W678" s="2"/>
      <c r="X678" s="2"/>
      <c r="Y678" s="2"/>
      <c r="Z678" s="2"/>
    </row>
    <row r="679">
      <c r="A679" s="2" t="str">
        <f>IFERROR(__xludf.DUMMYFUNCTION("""COMPUTED_VALUE"""),"Frozen Spearman's Fur Boots")</f>
        <v>Frozen Spearman's Fur Boots</v>
      </c>
      <c r="B679" s="2"/>
      <c r="C679" s="2"/>
      <c r="D679" s="2" t="str">
        <f>IFERROR(__xludf.DUMMYFUNCTION("""COMPUTED_VALUE"""),"Feet")</f>
        <v>Feet</v>
      </c>
      <c r="E679" s="2">
        <f>IFERROR(__xludf.DUMMYFUNCTION("""COMPUTED_VALUE"""),200.0)</f>
        <v>200</v>
      </c>
      <c r="F679" s="2" t="str">
        <f>IFERROR(__xludf.DUMMYFUNCTION("""COMPUTED_VALUE"""),"DEF: +25000, Earth DEF: +25000, Nature DEF: +25000, Celestial DEF: +25000 ++Frosty Footwork - Upon successfully hitting an enemy you can make a second attack")</f>
        <v>DEF: +25000, Earth DEF: +25000, Nature DEF: +25000, Celestial DEF: +25000 ++Frosty Footwork - Upon successfully hitting an enemy you can make a second attack</v>
      </c>
      <c r="G679" s="2">
        <f>IFERROR(__xludf.DUMMYFUNCTION("""COMPUTED_VALUE"""),1.99E8)</f>
        <v>199000000</v>
      </c>
      <c r="H679" s="2"/>
      <c r="I679" s="2"/>
      <c r="J679" s="2"/>
      <c r="K679" s="2"/>
      <c r="L679" s="2"/>
      <c r="M679" s="2"/>
      <c r="N679" s="2"/>
      <c r="O679" s="2"/>
      <c r="P679" s="2"/>
      <c r="Q679" s="2"/>
      <c r="R679" s="2"/>
      <c r="S679" s="2"/>
      <c r="T679" s="2"/>
      <c r="U679" s="2"/>
      <c r="V679" s="2"/>
      <c r="W679" s="2"/>
      <c r="X679" s="2"/>
      <c r="Y679" s="2"/>
      <c r="Z679" s="2"/>
    </row>
    <row r="680">
      <c r="A680" s="2" t="str">
        <f>IFERROR(__xludf.DUMMYFUNCTION("""COMPUTED_VALUE"""),"Frozen Spearman's Bracers")</f>
        <v>Frozen Spearman's Bracers</v>
      </c>
      <c r="B680" s="2"/>
      <c r="C680" s="2"/>
      <c r="D680" s="2" t="str">
        <f>IFERROR(__xludf.DUMMYFUNCTION("""COMPUTED_VALUE"""),"Arms")</f>
        <v>Arms</v>
      </c>
      <c r="E680" s="2">
        <f>IFERROR(__xludf.DUMMYFUNCTION("""COMPUTED_VALUE"""),200.0)</f>
        <v>200</v>
      </c>
      <c r="F680" s="2" t="str">
        <f>IFERROR(__xludf.DUMMYFUNCTION("""COMPUTED_VALUE"""),"DEF: +25000, Earth DEF: +25000, Nature DEF: +25000, Celestial DEF: +25000 ++Queen's Counter - Upon successfully evading an attack you can Immediately attack the person who attacked you.")</f>
        <v>DEF: +25000, Earth DEF: +25000, Nature DEF: +25000, Celestial DEF: +25000 ++Queen's Counter - Upon successfully evading an attack you can Immediately attack the person who attacked you.</v>
      </c>
      <c r="G680" s="2">
        <f>IFERROR(__xludf.DUMMYFUNCTION("""COMPUTED_VALUE"""),1.99E8)</f>
        <v>199000000</v>
      </c>
      <c r="H680" s="2"/>
      <c r="I680" s="2"/>
      <c r="J680" s="2"/>
      <c r="K680" s="2"/>
      <c r="L680" s="2"/>
      <c r="M680" s="2"/>
      <c r="N680" s="2"/>
      <c r="O680" s="2"/>
      <c r="P680" s="2"/>
      <c r="Q680" s="2"/>
      <c r="R680" s="2"/>
      <c r="S680" s="2"/>
      <c r="T680" s="2"/>
      <c r="U680" s="2"/>
      <c r="V680" s="2"/>
      <c r="W680" s="2"/>
      <c r="X680" s="2"/>
      <c r="Y680" s="2"/>
      <c r="Z680" s="2"/>
    </row>
    <row r="681">
      <c r="A681" s="2" t="str">
        <f>IFERROR(__xludf.DUMMYFUNCTION("""COMPUTED_VALUE"""),"Frozen Spearman's Fur Cloak")</f>
        <v>Frozen Spearman's Fur Cloak</v>
      </c>
      <c r="B681" s="2"/>
      <c r="C681" s="2"/>
      <c r="D681" s="2" t="str">
        <f>IFERROR(__xludf.DUMMYFUNCTION("""COMPUTED_VALUE"""),"Pauldrons")</f>
        <v>Pauldrons</v>
      </c>
      <c r="E681" s="2">
        <f>IFERROR(__xludf.DUMMYFUNCTION("""COMPUTED_VALUE"""),200.0)</f>
        <v>200</v>
      </c>
      <c r="F681" s="2" t="str">
        <f>IFERROR(__xludf.DUMMYFUNCTION("""COMPUTED_VALUE"""),"DEF: +25000, Earth DEF: +25000, Nature DEF: +25000, Celestial DEF: +25000 ++A Land of Ice and Snow - X4 Storm and Water damage")</f>
        <v>DEF: +25000, Earth DEF: +25000, Nature DEF: +25000, Celestial DEF: +25000 ++A Land of Ice and Snow - X4 Storm and Water damage</v>
      </c>
      <c r="G681" s="2">
        <f>IFERROR(__xludf.DUMMYFUNCTION("""COMPUTED_VALUE"""),1.99E8)</f>
        <v>199000000</v>
      </c>
      <c r="H681" s="2"/>
      <c r="I681" s="2"/>
      <c r="J681" s="2"/>
      <c r="K681" s="2"/>
      <c r="L681" s="2"/>
      <c r="M681" s="2"/>
      <c r="N681" s="2"/>
      <c r="O681" s="2"/>
      <c r="P681" s="2"/>
      <c r="Q681" s="2"/>
      <c r="R681" s="2"/>
      <c r="S681" s="2"/>
      <c r="T681" s="2"/>
      <c r="U681" s="2"/>
      <c r="V681" s="2"/>
      <c r="W681" s="2"/>
      <c r="X681" s="2"/>
      <c r="Y681" s="2"/>
      <c r="Z681" s="2"/>
    </row>
    <row r="682">
      <c r="A682" s="2" t="str">
        <f>IFERROR(__xludf.DUMMYFUNCTION("""COMPUTED_VALUE"""),"Frost Mage's Cloak")</f>
        <v>Frost Mage's Cloak</v>
      </c>
      <c r="B682" s="2"/>
      <c r="C682" s="2"/>
      <c r="D682" s="2" t="str">
        <f>IFERROR(__xludf.DUMMYFUNCTION("""COMPUTED_VALUE"""),"Torso")</f>
        <v>Torso</v>
      </c>
      <c r="E682" s="2">
        <f>IFERROR(__xludf.DUMMYFUNCTION("""COMPUTED_VALUE"""),200.0)</f>
        <v>200</v>
      </c>
      <c r="F682" s="2" t="str">
        <f>IFERROR(__xludf.DUMMYFUNCTION("""COMPUTED_VALUE"""),", Water DEF: +5000, Storm DEF: +5000, Celestial DEF: +5000 ++500HP, ++500SP, ++X4 Water and Storm Damage, ++Immunity to Freezing, +-Cannot be Duplicated.")</f>
        <v>, Water DEF: +5000, Storm DEF: +5000, Celestial DEF: +5000 ++500HP, ++500SP, ++X4 Water and Storm Damage, ++Immunity to Freezing, +-Cannot be Duplicated.</v>
      </c>
      <c r="G682" s="2">
        <f>IFERROR(__xludf.DUMMYFUNCTION("""COMPUTED_VALUE"""),4350000.0)</f>
        <v>4350000</v>
      </c>
      <c r="H682" s="2"/>
      <c r="I682" s="2"/>
      <c r="J682" s="2"/>
      <c r="K682" s="2"/>
      <c r="L682" s="2"/>
      <c r="M682" s="2"/>
      <c r="N682" s="2"/>
      <c r="O682" s="2"/>
      <c r="P682" s="2"/>
      <c r="Q682" s="2"/>
      <c r="R682" s="2"/>
      <c r="S682" s="2"/>
      <c r="T682" s="2"/>
      <c r="U682" s="2"/>
      <c r="V682" s="2"/>
      <c r="W682" s="2"/>
      <c r="X682" s="2"/>
      <c r="Y682" s="2"/>
      <c r="Z682" s="2"/>
    </row>
    <row r="683">
      <c r="A683" s="2" t="str">
        <f>IFERROR(__xludf.DUMMYFUNCTION("""COMPUTED_VALUE"""),"Frost Mage's Boots")</f>
        <v>Frost Mage's Boots</v>
      </c>
      <c r="B683" s="2"/>
      <c r="C683" s="2"/>
      <c r="D683" s="2" t="str">
        <f>IFERROR(__xludf.DUMMYFUNCTION("""COMPUTED_VALUE"""),"Feet")</f>
        <v>Feet</v>
      </c>
      <c r="E683" s="2">
        <f>IFERROR(__xludf.DUMMYFUNCTION("""COMPUTED_VALUE"""),200.0)</f>
        <v>200</v>
      </c>
      <c r="F683" s="2" t="str">
        <f>IFERROR(__xludf.DUMMYFUNCTION("""COMPUTED_VALUE"""),", Water DEF: +5000, Storm DEF: +5000, Celestial DEF: +5000 ++500HP, ++500SP, ++X4 Water and Storm Damage, ++Immunity to Freezing, +-Cannot be Duplicated.")</f>
        <v>, Water DEF: +5000, Storm DEF: +5000, Celestial DEF: +5000 ++500HP, ++500SP, ++X4 Water and Storm Damage, ++Immunity to Freezing, +-Cannot be Duplicated.</v>
      </c>
      <c r="G683" s="2">
        <f>IFERROR(__xludf.DUMMYFUNCTION("""COMPUTED_VALUE"""),4350000.0)</f>
        <v>4350000</v>
      </c>
      <c r="H683" s="2"/>
      <c r="I683" s="2"/>
      <c r="J683" s="2"/>
      <c r="K683" s="2"/>
      <c r="L683" s="2"/>
      <c r="M683" s="2"/>
      <c r="N683" s="2"/>
      <c r="O683" s="2"/>
      <c r="P683" s="2"/>
      <c r="Q683" s="2"/>
      <c r="R683" s="2"/>
      <c r="S683" s="2"/>
      <c r="T683" s="2"/>
      <c r="U683" s="2"/>
      <c r="V683" s="2"/>
      <c r="W683" s="2"/>
      <c r="X683" s="2"/>
      <c r="Y683" s="2"/>
      <c r="Z683" s="2"/>
    </row>
    <row r="684">
      <c r="A684" s="2" t="str">
        <f>IFERROR(__xludf.DUMMYFUNCTION("""COMPUTED_VALUE"""),"Frost Mage's Hood")</f>
        <v>Frost Mage's Hood</v>
      </c>
      <c r="B684" s="2"/>
      <c r="C684" s="2"/>
      <c r="D684" s="2" t="str">
        <f>IFERROR(__xludf.DUMMYFUNCTION("""COMPUTED_VALUE"""),"Head")</f>
        <v>Head</v>
      </c>
      <c r="E684" s="2">
        <f>IFERROR(__xludf.DUMMYFUNCTION("""COMPUTED_VALUE"""),200.0)</f>
        <v>200</v>
      </c>
      <c r="F684" s="2" t="str">
        <f>IFERROR(__xludf.DUMMYFUNCTION("""COMPUTED_VALUE"""),", Water DEF: +5000, Storm DEF: +5000, Celestial DEF: +5000 ++500HP, ++500SP, ++X4 Water and Storm Damage, ++Immunity to Freezing, +-Cannot be Duplicated.")</f>
        <v>, Water DEF: +5000, Storm DEF: +5000, Celestial DEF: +5000 ++500HP, ++500SP, ++X4 Water and Storm Damage, ++Immunity to Freezing, +-Cannot be Duplicated.</v>
      </c>
      <c r="G684" s="2">
        <f>IFERROR(__xludf.DUMMYFUNCTION("""COMPUTED_VALUE"""),4350000.0)</f>
        <v>4350000</v>
      </c>
      <c r="H684" s="2"/>
      <c r="I684" s="2"/>
      <c r="J684" s="2"/>
      <c r="K684" s="2"/>
      <c r="L684" s="2"/>
      <c r="M684" s="2"/>
      <c r="N684" s="2"/>
      <c r="O684" s="2"/>
      <c r="P684" s="2"/>
      <c r="Q684" s="2"/>
      <c r="R684" s="2"/>
      <c r="S684" s="2"/>
      <c r="T684" s="2"/>
      <c r="U684" s="2"/>
      <c r="V684" s="2"/>
      <c r="W684" s="2"/>
      <c r="X684" s="2"/>
      <c r="Y684" s="2"/>
      <c r="Z684" s="2"/>
    </row>
    <row r="685">
      <c r="A685" s="2" t="str">
        <f>IFERROR(__xludf.DUMMYFUNCTION("""COMPUTED_VALUE"""),"Crown of Frozen Swords")</f>
        <v>Crown of Frozen Swords</v>
      </c>
      <c r="B685" s="2"/>
      <c r="C685" s="2"/>
      <c r="D685" s="2" t="str">
        <f>IFERROR(__xludf.DUMMYFUNCTION("""COMPUTED_VALUE"""),"Head")</f>
        <v>Head</v>
      </c>
      <c r="E685" s="2">
        <f>IFERROR(__xludf.DUMMYFUNCTION("""COMPUTED_VALUE"""),200.0)</f>
        <v>200</v>
      </c>
      <c r="F685" s="2" t="str">
        <f>IFERROR(__xludf.DUMMYFUNCTION("""COMPUTED_VALUE"""),"DEF: +50000, Earth DEF: +50000, Nature DEF: +50000, Celestial DEF: +50000 ++King of The Frozen Wastes - X2 Storm damage ++15% chance to hit all enemies with a weapon attack")</f>
        <v>DEF: +50000, Earth DEF: +50000, Nature DEF: +50000, Celestial DEF: +50000 ++King of The Frozen Wastes - X2 Storm damage ++15% chance to hit all enemies with a weapon attack</v>
      </c>
      <c r="G685" s="2">
        <f>IFERROR(__xludf.DUMMYFUNCTION("""COMPUTED_VALUE"""),7.98E8)</f>
        <v>798000000</v>
      </c>
      <c r="H685" s="2"/>
      <c r="I685" s="2"/>
      <c r="J685" s="2"/>
      <c r="K685" s="2"/>
      <c r="L685" s="2"/>
      <c r="M685" s="2"/>
      <c r="N685" s="2"/>
      <c r="O685" s="2"/>
      <c r="P685" s="2"/>
      <c r="Q685" s="2"/>
      <c r="R685" s="2"/>
      <c r="S685" s="2"/>
      <c r="T685" s="2"/>
      <c r="U685" s="2"/>
      <c r="V685" s="2"/>
      <c r="W685" s="2"/>
      <c r="X685" s="2"/>
      <c r="Y685" s="2"/>
      <c r="Z685" s="2"/>
    </row>
    <row r="686">
      <c r="A686" s="2" t="str">
        <f>IFERROR(__xludf.DUMMYFUNCTION("""COMPUTED_VALUE"""),"Frost-bitten Cape")</f>
        <v>Frost-bitten Cape</v>
      </c>
      <c r="B686" s="2"/>
      <c r="C686" s="2"/>
      <c r="D686" s="2" t="str">
        <f>IFERROR(__xludf.DUMMYFUNCTION("""COMPUTED_VALUE"""),"Shoulders")</f>
        <v>Shoulders</v>
      </c>
      <c r="E686" s="2">
        <f>IFERROR(__xludf.DUMMYFUNCTION("""COMPUTED_VALUE"""),200.0)</f>
        <v>200</v>
      </c>
      <c r="F686" s="2" t="str">
        <f>IFERROR(__xludf.DUMMYFUNCTION("""COMPUTED_VALUE"""),"DEF: +50000, Earth DEF: +50000, Nature DEF: +50000, Celestial DEF: +50000 ++Frostbite - Enemies hit with a weapon attack take 5000 Storm damage per round for 3 rounds")</f>
        <v>DEF: +50000, Earth DEF: +50000, Nature DEF: +50000, Celestial DEF: +50000 ++Frostbite - Enemies hit with a weapon attack take 5000 Storm damage per round for 3 rounds</v>
      </c>
      <c r="G686" s="2">
        <f>IFERROR(__xludf.DUMMYFUNCTION("""COMPUTED_VALUE"""),7.98E8)</f>
        <v>798000000</v>
      </c>
      <c r="H686" s="2"/>
      <c r="I686" s="2"/>
      <c r="J686" s="2"/>
      <c r="K686" s="2"/>
      <c r="L686" s="2"/>
      <c r="M686" s="2"/>
      <c r="N686" s="2"/>
      <c r="O686" s="2"/>
      <c r="P686" s="2"/>
      <c r="Q686" s="2"/>
      <c r="R686" s="2"/>
      <c r="S686" s="2"/>
      <c r="T686" s="2"/>
      <c r="U686" s="2"/>
      <c r="V686" s="2"/>
      <c r="W686" s="2"/>
      <c r="X686" s="2"/>
      <c r="Y686" s="2"/>
      <c r="Z686" s="2"/>
    </row>
    <row r="687">
      <c r="A687" s="2" t="str">
        <f>IFERROR(__xludf.DUMMYFUNCTION("""COMPUTED_VALUE"""),"Ice-steel Pauldrons")</f>
        <v>Ice-steel Pauldrons</v>
      </c>
      <c r="B687" s="2"/>
      <c r="C687" s="2"/>
      <c r="D687" s="2" t="str">
        <f>IFERROR(__xludf.DUMMYFUNCTION("""COMPUTED_VALUE"""),"Shoulders")</f>
        <v>Shoulders</v>
      </c>
      <c r="E687" s="2">
        <f>IFERROR(__xludf.DUMMYFUNCTION("""COMPUTED_VALUE"""),200.0)</f>
        <v>200</v>
      </c>
      <c r="F687" s="2" t="str">
        <f>IFERROR(__xludf.DUMMYFUNCTION("""COMPUTED_VALUE"""),"DEF: +50000, Earth DEF: +50000, Nature DEF: +50000, Celestial DEF: +50000 ++Cold Shoulder - Immunity to freeze")</f>
        <v>DEF: +50000, Earth DEF: +50000, Nature DEF: +50000, Celestial DEF: +50000 ++Cold Shoulder - Immunity to freeze</v>
      </c>
      <c r="G687" s="2">
        <f>IFERROR(__xludf.DUMMYFUNCTION("""COMPUTED_VALUE"""),7.98E8)</f>
        <v>798000000</v>
      </c>
      <c r="H687" s="2"/>
      <c r="I687" s="2"/>
      <c r="J687" s="2"/>
      <c r="K687" s="2"/>
      <c r="L687" s="2"/>
      <c r="M687" s="2"/>
      <c r="N687" s="2"/>
      <c r="O687" s="2"/>
      <c r="P687" s="2"/>
      <c r="Q687" s="2"/>
      <c r="R687" s="2"/>
      <c r="S687" s="2"/>
      <c r="T687" s="2"/>
      <c r="U687" s="2"/>
      <c r="V687" s="2"/>
      <c r="W687" s="2"/>
      <c r="X687" s="2"/>
      <c r="Y687" s="2"/>
      <c r="Z687" s="2"/>
    </row>
    <row r="688">
      <c r="A688" s="2" t="str">
        <f>IFERROR(__xludf.DUMMYFUNCTION("""COMPUTED_VALUE"""),"Ice-steel Bracers")</f>
        <v>Ice-steel Bracers</v>
      </c>
      <c r="B688" s="2"/>
      <c r="C688" s="2"/>
      <c r="D688" s="2" t="str">
        <f>IFERROR(__xludf.DUMMYFUNCTION("""COMPUTED_VALUE"""),"Arms")</f>
        <v>Arms</v>
      </c>
      <c r="E688" s="2">
        <f>IFERROR(__xludf.DUMMYFUNCTION("""COMPUTED_VALUE"""),200.0)</f>
        <v>200</v>
      </c>
      <c r="F688" s="2" t="str">
        <f>IFERROR(__xludf.DUMMYFUNCTION("""COMPUTED_VALUE"""),"DEF: +50000, Earth DEF: +50000, Nature DEF: +50000, Celestial DEF: +50000 ++A Moment of Weakness - (Can only target frozen enemies) Strike the enemy with your weapon dealing X3 Weapon damage and Giving the enemy disoriented 3 - 500 sp")</f>
        <v>DEF: +50000, Earth DEF: +50000, Nature DEF: +50000, Celestial DEF: +50000 ++A Moment of Weakness - (Can only target frozen enemies) Strike the enemy with your weapon dealing X3 Weapon damage and Giving the enemy disoriented 3 - 500 sp</v>
      </c>
      <c r="G688" s="2">
        <f>IFERROR(__xludf.DUMMYFUNCTION("""COMPUTED_VALUE"""),7.98E8)</f>
        <v>798000000</v>
      </c>
      <c r="H688" s="2"/>
      <c r="I688" s="2"/>
      <c r="J688" s="2"/>
      <c r="K688" s="2"/>
      <c r="L688" s="2"/>
      <c r="M688" s="2"/>
      <c r="N688" s="2"/>
      <c r="O688" s="2"/>
      <c r="P688" s="2"/>
      <c r="Q688" s="2"/>
      <c r="R688" s="2"/>
      <c r="S688" s="2"/>
      <c r="T688" s="2"/>
      <c r="U688" s="2"/>
      <c r="V688" s="2"/>
      <c r="W688" s="2"/>
      <c r="X688" s="2"/>
      <c r="Y688" s="2"/>
      <c r="Z688" s="2"/>
    </row>
    <row r="689">
      <c r="A689" s="2" t="str">
        <f>IFERROR(__xludf.DUMMYFUNCTION("""COMPUTED_VALUE"""),"Ice-steel Chausses")</f>
        <v>Ice-steel Chausses</v>
      </c>
      <c r="B689" s="2" t="str">
        <f>IFERROR(__xludf.DUMMYFUNCTION("""COMPUTED_VALUE"""),"The chinks in the armor suggest a lack of care over the past years.")</f>
        <v>The chinks in the armor suggest a lack of care over the past years.</v>
      </c>
      <c r="C689" s="2"/>
      <c r="D689" s="2" t="str">
        <f>IFERROR(__xludf.DUMMYFUNCTION("""COMPUTED_VALUE"""),"Legs")</f>
        <v>Legs</v>
      </c>
      <c r="E689" s="2">
        <f>IFERROR(__xludf.DUMMYFUNCTION("""COMPUTED_VALUE"""),200.0)</f>
        <v>200</v>
      </c>
      <c r="F689" s="2" t="str">
        <f>IFERROR(__xludf.DUMMYFUNCTION("""COMPUTED_VALUE"""),"DEF: +50000, Earth DEF: +50000, Nature DEF: +50000, Celestial DEF: +50000 ++X2 Weapon Damage")</f>
        <v>DEF: +50000, Earth DEF: +50000, Nature DEF: +50000, Celestial DEF: +50000 ++X2 Weapon Damage</v>
      </c>
      <c r="G689" s="2">
        <f>IFERROR(__xludf.DUMMYFUNCTION("""COMPUTED_VALUE"""),7.98E8)</f>
        <v>798000000</v>
      </c>
      <c r="H689" s="2"/>
      <c r="I689" s="2"/>
      <c r="J689" s="2"/>
      <c r="K689" s="2"/>
      <c r="L689" s="2"/>
      <c r="M689" s="2"/>
      <c r="N689" s="2"/>
      <c r="O689" s="2"/>
      <c r="P689" s="2"/>
      <c r="Q689" s="2"/>
      <c r="R689" s="2"/>
      <c r="S689" s="2"/>
      <c r="T689" s="2"/>
      <c r="U689" s="2"/>
      <c r="V689" s="2"/>
      <c r="W689" s="2"/>
      <c r="X689" s="2"/>
      <c r="Y689" s="2"/>
      <c r="Z689" s="2"/>
    </row>
    <row r="690">
      <c r="A690" s="2" t="str">
        <f>IFERROR(__xludf.DUMMYFUNCTION("""COMPUTED_VALUE"""),"Frost Stompers")</f>
        <v>Frost Stompers</v>
      </c>
      <c r="B690" s="2" t="str">
        <f>IFERROR(__xludf.DUMMYFUNCTION("""COMPUTED_VALUE"""),"These frozen iron boots are covered in a layer of permafrost, it seems as though they'll never thaw.")</f>
        <v>These frozen iron boots are covered in a layer of permafrost, it seems as though they'll never thaw.</v>
      </c>
      <c r="C690" s="2"/>
      <c r="D690" s="2" t="str">
        <f>IFERROR(__xludf.DUMMYFUNCTION("""COMPUTED_VALUE"""),"Feet")</f>
        <v>Feet</v>
      </c>
      <c r="E690" s="2">
        <f>IFERROR(__xludf.DUMMYFUNCTION("""COMPUTED_VALUE"""),200.0)</f>
        <v>200</v>
      </c>
      <c r="F690" s="2" t="str">
        <f>IFERROR(__xludf.DUMMYFUNCTION("""COMPUTED_VALUE"""),"DEF: +50000, Earth DEF: +50000, Nature DEF: +50000, Celestial DEF: +50000 ++X2 Storm Damage")</f>
        <v>DEF: +50000, Earth DEF: +50000, Nature DEF: +50000, Celestial DEF: +50000 ++X2 Storm Damage</v>
      </c>
      <c r="G690" s="2">
        <f>IFERROR(__xludf.DUMMYFUNCTION("""COMPUTED_VALUE"""),7.98E8)</f>
        <v>798000000</v>
      </c>
      <c r="H690" s="2"/>
      <c r="I690" s="2"/>
      <c r="J690" s="2"/>
      <c r="K690" s="2"/>
      <c r="L690" s="2"/>
      <c r="M690" s="2"/>
      <c r="N690" s="2"/>
      <c r="O690" s="2"/>
      <c r="P690" s="2"/>
      <c r="Q690" s="2"/>
      <c r="R690" s="2"/>
      <c r="S690" s="2"/>
      <c r="T690" s="2"/>
      <c r="U690" s="2"/>
      <c r="V690" s="2"/>
      <c r="W690" s="2"/>
      <c r="X690" s="2"/>
      <c r="Y690" s="2"/>
      <c r="Z690" s="2"/>
    </row>
    <row r="691">
      <c r="A691" s="2" t="str">
        <f>IFERROR(__xludf.DUMMYFUNCTION("""COMPUTED_VALUE"""),"Plate of the Frozen Sun")</f>
        <v>Plate of the Frozen Sun</v>
      </c>
      <c r="B691" s="2" t="str">
        <f>IFERROR(__xludf.DUMMYFUNCTION("""COMPUTED_VALUE"""),"""The king was not always as he is now, but the yearly curse of the ice mage has him colder than usual"" ~old man")</f>
        <v>"The king was not always as he is now, but the yearly curse of the ice mage has him colder than usual" ~old man</v>
      </c>
      <c r="C691" s="2"/>
      <c r="D691" s="2" t="str">
        <f>IFERROR(__xludf.DUMMYFUNCTION("""COMPUTED_VALUE"""),"Torso")</f>
        <v>Torso</v>
      </c>
      <c r="E691" s="2">
        <f>IFERROR(__xludf.DUMMYFUNCTION("""COMPUTED_VALUE"""),200.0)</f>
        <v>200</v>
      </c>
      <c r="F691" s="2" t="str">
        <f>IFERROR(__xludf.DUMMYFUNCTION("""COMPUTED_VALUE"""),"DEF: +50000, Earth DEF: +50000, Nature DEF: +50000, Celestial DEF: +50000 ++Freezing Absorption - Can absorb one summoned creature adding their stats on top of your for 3 rounds but giving you a 50% chance of attacking a random ally instead of an enemy - "&amp;"500 sp")</f>
        <v>DEF: +50000, Earth DEF: +50000, Nature DEF: +50000, Celestial DEF: +50000 ++Freezing Absorption - Can absorb one summoned creature adding their stats on top of your for 3 rounds but giving you a 50% chance of attacking a random ally instead of an enemy - 500 sp</v>
      </c>
      <c r="G691" s="2">
        <f>IFERROR(__xludf.DUMMYFUNCTION("""COMPUTED_VALUE"""),7.98E8)</f>
        <v>798000000</v>
      </c>
      <c r="H691" s="2"/>
      <c r="I691" s="2"/>
      <c r="J691" s="2"/>
      <c r="K691" s="2"/>
      <c r="L691" s="2"/>
      <c r="M691" s="2"/>
      <c r="N691" s="2"/>
      <c r="O691" s="2"/>
      <c r="P691" s="2"/>
      <c r="Q691" s="2"/>
      <c r="R691" s="2"/>
      <c r="S691" s="2"/>
      <c r="T691" s="2"/>
      <c r="U691" s="2"/>
      <c r="V691" s="2"/>
      <c r="W691" s="2"/>
      <c r="X691" s="2"/>
      <c r="Y691" s="2"/>
      <c r="Z691" s="2"/>
    </row>
    <row r="692">
      <c r="A692" s="2" t="str">
        <f>IFERROR(__xludf.DUMMYFUNCTION("""COMPUTED_VALUE"""),"Frost Mage's Staff")</f>
        <v>Frost Mage's Staff</v>
      </c>
      <c r="B692" s="2" t="str">
        <f>IFERROR(__xludf.DUMMYFUNCTION("""COMPUTED_VALUE"""),"""FREEZE"" ~Frost mage")</f>
        <v>"FREEZE" ~Frost mage</v>
      </c>
      <c r="C692" s="2" t="str">
        <f>IFERROR(__xludf.DUMMYFUNCTION("""COMPUTED_VALUE"""),"Staff")</f>
        <v>Staff</v>
      </c>
      <c r="D692" s="2" t="str">
        <f>IFERROR(__xludf.DUMMYFUNCTION("""COMPUTED_VALUE"""),"Hand")</f>
        <v>Hand</v>
      </c>
      <c r="E692" s="2">
        <f>IFERROR(__xludf.DUMMYFUNCTION("""COMPUTED_VALUE"""),200.0)</f>
        <v>200</v>
      </c>
      <c r="F692" s="2" t="str">
        <f>IFERROR(__xludf.DUMMYFUNCTION("""COMPUTED_VALUE"""),", Water DMG: +50000, Storm DMG: +50000, Celestial DMG: +50000 ++Damages all enemies, ++Cannot Avoid ++ +500SP ++X4 Water and Storm Damage ++25% chance to freeze the enemies +-Cannot be forged +-Cannot be duplicated")</f>
        <v>, Water DMG: +50000, Storm DMG: +50000, Celestial DMG: +50000 ++Damages all enemies, ++Cannot Avoid ++ +500SP ++X4 Water and Storm Damage ++25% chance to freeze the enemies +-Cannot be forged +-Cannot be duplicated</v>
      </c>
      <c r="G692" s="2">
        <f>IFERROR(__xludf.DUMMYFUNCTION("""COMPUTED_VALUE"""),4.485E8)</f>
        <v>448500000</v>
      </c>
      <c r="H692" s="2"/>
      <c r="I692" s="2"/>
      <c r="J692" s="2"/>
      <c r="K692" s="2"/>
      <c r="L692" s="2"/>
      <c r="M692" s="2"/>
      <c r="N692" s="2"/>
      <c r="O692" s="2"/>
      <c r="P692" s="2"/>
      <c r="Q692" s="2"/>
      <c r="R692" s="2"/>
      <c r="S692" s="2"/>
      <c r="T692" s="2"/>
      <c r="U692" s="2"/>
      <c r="V692" s="2"/>
      <c r="W692" s="2"/>
      <c r="X692" s="2"/>
      <c r="Y692" s="2"/>
      <c r="Z692" s="2"/>
    </row>
    <row r="693">
      <c r="A693" s="2" t="str">
        <f>IFERROR(__xludf.DUMMYFUNCTION("""COMPUTED_VALUE"""),"Snowball")</f>
        <v>Snowball</v>
      </c>
      <c r="B693" s="2" t="str">
        <f>IFERROR(__xludf.DUMMYFUNCTION("""COMPUTED_VALUE"""),"""If you even think about hitting me with that I'll fill one with lead and bash your skull with it"" ~Gwennivir")</f>
        <v>"If you even think about hitting me with that I'll fill one with lead and bash your skull with it" ~Gwennivir</v>
      </c>
      <c r="C693" s="2" t="str">
        <f>IFERROR(__xludf.DUMMYFUNCTION("""COMPUTED_VALUE"""),"Boomerang")</f>
        <v>Boomerang</v>
      </c>
      <c r="D693" s="2" t="str">
        <f>IFERROR(__xludf.DUMMYFUNCTION("""COMPUTED_VALUE"""),"Hand")</f>
        <v>Hand</v>
      </c>
      <c r="E693" s="2">
        <f>IFERROR(__xludf.DUMMYFUNCTION("""COMPUTED_VALUE"""),200.0)</f>
        <v>200</v>
      </c>
      <c r="F693" s="2" t="str">
        <f>IFERROR(__xludf.DUMMYFUNCTION("""COMPUTED_VALUE"""),", Water DMG: +10000 ++25% Chance to freeze the target, ++25% chance to turn the target into a Demon Snowman and recruit them to the users side for 2 rounds (this counts as a possession).")</f>
        <v>, Water DMG: +10000 ++25% Chance to freeze the target, ++25% chance to turn the target into a Demon Snowman and recruit them to the users side for 2 rounds (this counts as a possession).</v>
      </c>
      <c r="G693" s="2">
        <f>IFERROR(__xludf.DUMMYFUNCTION("""COMPUTED_VALUE"""),1900000.0)</f>
        <v>1900000</v>
      </c>
      <c r="H693" s="2"/>
      <c r="I693" s="2"/>
      <c r="J693" s="2"/>
      <c r="K693" s="2"/>
      <c r="L693" s="2"/>
      <c r="M693" s="2"/>
      <c r="N693" s="2"/>
      <c r="O693" s="2"/>
      <c r="P693" s="2"/>
      <c r="Q693" s="2"/>
      <c r="R693" s="2"/>
      <c r="S693" s="2"/>
      <c r="T693" s="2"/>
      <c r="U693" s="2"/>
      <c r="V693" s="2"/>
      <c r="W693" s="2"/>
      <c r="X693" s="2"/>
      <c r="Y693" s="2"/>
      <c r="Z693" s="2"/>
    </row>
    <row r="694">
      <c r="A694" s="2" t="str">
        <f>IFERROR(__xludf.DUMMYFUNCTION("""COMPUTED_VALUE"""),"Corvid Cloak")</f>
        <v>Corvid Cloak</v>
      </c>
      <c r="B694" s="2" t="str">
        <f>IFERROR(__xludf.DUMMYFUNCTION("""COMPUTED_VALUE"""),"Formed from the feathers of many crows and ravens, this cloak has an imposing presence.")</f>
        <v>Formed from the feathers of many crows and ravens, this cloak has an imposing presence.</v>
      </c>
      <c r="C694" s="2"/>
      <c r="D694" s="2" t="str">
        <f>IFERROR(__xludf.DUMMYFUNCTION("""COMPUTED_VALUE"""),"Shoulders")</f>
        <v>Shoulders</v>
      </c>
      <c r="E694" s="2">
        <f>IFERROR(__xludf.DUMMYFUNCTION("""COMPUTED_VALUE"""),1.0)</f>
        <v>1</v>
      </c>
      <c r="F694" s="2" t="str">
        <f>IFERROR(__xludf.DUMMYFUNCTION("""COMPUTED_VALUE""")," ++On WIngs of Death: When an enemy or ally dies of poison all Base stats are doubled for 3 rounds and +5 to all perks +-Cannot be Duplicated")</f>
        <v> ++On WIngs of Death: When an enemy or ally dies of poison all Base stats are doubled for 3 rounds and +5 to all perks +-Cannot be Duplicated</v>
      </c>
      <c r="G694" s="2">
        <f>IFERROR(__xludf.DUMMYFUNCTION("""COMPUTED_VALUE"""),0.0)</f>
        <v>0</v>
      </c>
      <c r="H694" s="2"/>
      <c r="I694" s="2"/>
      <c r="J694" s="2"/>
      <c r="K694" s="2"/>
      <c r="L694" s="2"/>
      <c r="M694" s="2"/>
      <c r="N694" s="2"/>
      <c r="O694" s="2"/>
      <c r="P694" s="2"/>
      <c r="Q694" s="2"/>
      <c r="R694" s="2"/>
      <c r="S694" s="2"/>
      <c r="T694" s="2"/>
      <c r="U694" s="2"/>
      <c r="V694" s="2"/>
      <c r="W694" s="2"/>
      <c r="X694" s="2"/>
      <c r="Y694" s="2"/>
      <c r="Z694" s="2"/>
    </row>
    <row r="695">
      <c r="A695" s="2" t="str">
        <f>IFERROR(__xludf.DUMMYFUNCTION("""COMPUTED_VALUE"""),"Plague Doctor's Mask")</f>
        <v>Plague Doctor's Mask</v>
      </c>
      <c r="B695" s="2" t="str">
        <f>IFERROR(__xludf.DUMMYFUNCTION("""COMPUTED_VALUE"""),"""The eyes of the plague doctors can see all the impurities of not just one's body, but one's soul, it is our goal- nay, our purpose, to cure these impurities"" ~Kaillon, The Last WItch Doctor")</f>
        <v>"The eyes of the plague doctors can see all the impurities of not just one's body, but one's soul, it is our goal- nay, our purpose, to cure these impurities" ~Kaillon, The Last WItch Doctor</v>
      </c>
      <c r="C695" s="2"/>
      <c r="D695" s="2" t="str">
        <f>IFERROR(__xludf.DUMMYFUNCTION("""COMPUTED_VALUE"""),"Head")</f>
        <v>Head</v>
      </c>
      <c r="E695" s="2">
        <f>IFERROR(__xludf.DUMMYFUNCTION("""COMPUTED_VALUE"""),1.0)</f>
        <v>1</v>
      </c>
      <c r="F695" s="2" t="str">
        <f>IFERROR(__xludf.DUMMYFUNCTION("""COMPUTED_VALUE""")," ++Plague Doctor: 25% chance to be unaffected by a disease +-Cannot be Duplicated")</f>
        <v> ++Plague Doctor: 25% chance to be unaffected by a disease +-Cannot be Duplicated</v>
      </c>
      <c r="G695" s="2">
        <f>IFERROR(__xludf.DUMMYFUNCTION("""COMPUTED_VALUE"""),0.0)</f>
        <v>0</v>
      </c>
      <c r="H695" s="2"/>
      <c r="I695" s="2"/>
      <c r="J695" s="2"/>
      <c r="K695" s="2"/>
      <c r="L695" s="2"/>
      <c r="M695" s="2"/>
      <c r="N695" s="2"/>
      <c r="O695" s="2"/>
      <c r="P695" s="2"/>
      <c r="Q695" s="2"/>
      <c r="R695" s="2"/>
      <c r="S695" s="2"/>
      <c r="T695" s="2"/>
      <c r="U695" s="2"/>
      <c r="V695" s="2"/>
      <c r="W695" s="2"/>
      <c r="X695" s="2"/>
      <c r="Y695" s="2"/>
      <c r="Z695" s="2"/>
    </row>
    <row r="696">
      <c r="A696" s="2" t="str">
        <f>IFERROR(__xludf.DUMMYFUNCTION("""COMPUTED_VALUE"""),"""The Only Cure""")</f>
        <v>"The Only Cure"</v>
      </c>
      <c r="B696" s="2" t="str">
        <f>IFERROR(__xludf.DUMMYFUNCTION("""COMPUTED_VALUE"""),"""Sometimes, there is no cure for one's disease,
in those times it is our job to be merciful,
Truly, the only cure is death"" ~Kaillon, The Last Witch Doctor")</f>
        <v>"Sometimes, there is no cure for one's disease,
in those times it is our job to be merciful,
Truly, the only cure is death" ~Kaillon, The Last Witch Doctor</v>
      </c>
      <c r="C696" s="2"/>
      <c r="D696" s="2" t="str">
        <f>IFERROR(__xludf.DUMMYFUNCTION("""COMPUTED_VALUE"""),"Neck")</f>
        <v>Neck</v>
      </c>
      <c r="E696" s="2">
        <f>IFERROR(__xludf.DUMMYFUNCTION("""COMPUTED_VALUE"""),1.0)</f>
        <v>1</v>
      </c>
      <c r="F696" s="2" t="str">
        <f>IFERROR(__xludf.DUMMYFUNCTION("""COMPUTED_VALUE""")," ++""Is Death"": The first time a single ally dies in a battle they survive on 1 hp with halved defense, atack, and accuracy for 3 rounds. +-Cannot be Duplicated")</f>
        <v> ++"Is Death": The first time a single ally dies in a battle they survive on 1 hp with halved defense, atack, and accuracy for 3 rounds. +-Cannot be Duplicated</v>
      </c>
      <c r="G696" s="2">
        <f>IFERROR(__xludf.DUMMYFUNCTION("""COMPUTED_VALUE"""),0.0)</f>
        <v>0</v>
      </c>
      <c r="H696" s="2"/>
      <c r="I696" s="2"/>
      <c r="J696" s="2"/>
      <c r="K696" s="2"/>
      <c r="L696" s="2"/>
      <c r="M696" s="2"/>
      <c r="N696" s="2"/>
      <c r="O696" s="2"/>
      <c r="P696" s="2"/>
      <c r="Q696" s="2"/>
      <c r="R696" s="2"/>
      <c r="S696" s="2"/>
      <c r="T696" s="2"/>
      <c r="U696" s="2"/>
      <c r="V696" s="2"/>
      <c r="W696" s="2"/>
      <c r="X696" s="2"/>
      <c r="Y696" s="2"/>
      <c r="Z696" s="2"/>
    </row>
    <row r="697">
      <c r="A697" s="2" t="str">
        <f>IFERROR(__xludf.DUMMYFUNCTION("""COMPUTED_VALUE"""),"Plague Doctor's Gloves")</f>
        <v>Plague Doctor's Gloves</v>
      </c>
      <c r="B697" s="2" t="str">
        <f>IFERROR(__xludf.DUMMYFUNCTION("""COMPUTED_VALUE"""),"These gloves have been stained with blood and potions over the years.")</f>
        <v>These gloves have been stained with blood and potions over the years.</v>
      </c>
      <c r="C697" s="2"/>
      <c r="D697" s="2" t="str">
        <f>IFERROR(__xludf.DUMMYFUNCTION("""COMPUTED_VALUE"""),"Arms")</f>
        <v>Arms</v>
      </c>
      <c r="E697" s="2">
        <f>IFERROR(__xludf.DUMMYFUNCTION("""COMPUTED_VALUE"""),1.0)</f>
        <v>1</v>
      </c>
      <c r="F697" s="2" t="str">
        <f>IFERROR(__xludf.DUMMYFUNCTION("""COMPUTED_VALUE""")," ++Poisoner I:X2 damage +-Cannot be Duplicated")</f>
        <v> ++Poisoner I:X2 damage +-Cannot be Duplicated</v>
      </c>
      <c r="G697" s="2">
        <f>IFERROR(__xludf.DUMMYFUNCTION("""COMPUTED_VALUE"""),0.0)</f>
        <v>0</v>
      </c>
      <c r="H697" s="2"/>
      <c r="I697" s="2"/>
      <c r="J697" s="2"/>
      <c r="K697" s="2"/>
      <c r="L697" s="2"/>
      <c r="M697" s="2"/>
      <c r="N697" s="2"/>
      <c r="O697" s="2"/>
      <c r="P697" s="2"/>
      <c r="Q697" s="2"/>
      <c r="R697" s="2"/>
      <c r="S697" s="2"/>
      <c r="T697" s="2"/>
      <c r="U697" s="2"/>
      <c r="V697" s="2"/>
      <c r="W697" s="2"/>
      <c r="X697" s="2"/>
      <c r="Y697" s="2"/>
      <c r="Z697" s="2"/>
    </row>
    <row r="698">
      <c r="A698" s="2" t="str">
        <f>IFERROR(__xludf.DUMMYFUNCTION("""COMPUTED_VALUE"""),"Plague Doctor's Sarouel")</f>
        <v>Plague Doctor's Sarouel</v>
      </c>
      <c r="B698" s="2" t="str">
        <f>IFERROR(__xludf.DUMMYFUNCTION("""COMPUTED_VALUE"""),"These pants serve no real purpose within the foul night swamp, but they are the traditional wear of the plague doctors.")</f>
        <v>These pants serve no real purpose within the foul night swamp, but they are the traditional wear of the plague doctors.</v>
      </c>
      <c r="C698" s="2"/>
      <c r="D698" s="2" t="str">
        <f>IFERROR(__xludf.DUMMYFUNCTION("""COMPUTED_VALUE"""),"Legs")</f>
        <v>Legs</v>
      </c>
      <c r="E698" s="2">
        <f>IFERROR(__xludf.DUMMYFUNCTION("""COMPUTED_VALUE"""),1.0)</f>
        <v>1</v>
      </c>
      <c r="F698" s="2" t="str">
        <f>IFERROR(__xludf.DUMMYFUNCTION("""COMPUTED_VALUE""")," ++Poisoner I:X2 damage +-Cannot be Duplicated")</f>
        <v> ++Poisoner I:X2 damage +-Cannot be Duplicated</v>
      </c>
      <c r="G698" s="2">
        <f>IFERROR(__xludf.DUMMYFUNCTION("""COMPUTED_VALUE"""),0.0)</f>
        <v>0</v>
      </c>
      <c r="H698" s="2"/>
      <c r="I698" s="2"/>
      <c r="J698" s="2"/>
      <c r="K698" s="2"/>
      <c r="L698" s="2"/>
      <c r="M698" s="2"/>
      <c r="N698" s="2"/>
      <c r="O698" s="2"/>
      <c r="P698" s="2"/>
      <c r="Q698" s="2"/>
      <c r="R698" s="2"/>
      <c r="S698" s="2"/>
      <c r="T698" s="2"/>
      <c r="U698" s="2"/>
      <c r="V698" s="2"/>
      <c r="W698" s="2"/>
      <c r="X698" s="2"/>
      <c r="Y698" s="2"/>
      <c r="Z698" s="2"/>
    </row>
    <row r="699">
      <c r="A699" s="2" t="str">
        <f>IFERROR(__xludf.DUMMYFUNCTION("""COMPUTED_VALUE"""),"Plague Doctor's Boots")</f>
        <v>Plague Doctor's Boots</v>
      </c>
      <c r="B699" s="2" t="str">
        <f>IFERROR(__xludf.DUMMYFUNCTION("""COMPUTED_VALUE"""),"These boots have been designed for optimal movement through all kinds of hazards.")</f>
        <v>These boots have been designed for optimal movement through all kinds of hazards.</v>
      </c>
      <c r="C699" s="2"/>
      <c r="D699" s="2" t="str">
        <f>IFERROR(__xludf.DUMMYFUNCTION("""COMPUTED_VALUE"""),"Feet")</f>
        <v>Feet</v>
      </c>
      <c r="E699" s="2">
        <f>IFERROR(__xludf.DUMMYFUNCTION("""COMPUTED_VALUE"""),1.0)</f>
        <v>1</v>
      </c>
      <c r="F699" s="2" t="str">
        <f>IFERROR(__xludf.DUMMYFUNCTION("""COMPUTED_VALUE""")," ++Swamp Stompers: You take only half the effect of environmental hazards +-Cannot be Duplicated")</f>
        <v> ++Swamp Stompers: You take only half the effect of environmental hazards +-Cannot be Duplicated</v>
      </c>
      <c r="G699" s="2">
        <f>IFERROR(__xludf.DUMMYFUNCTION("""COMPUTED_VALUE"""),0.0)</f>
        <v>0</v>
      </c>
      <c r="H699" s="2"/>
      <c r="I699" s="2"/>
      <c r="J699" s="2"/>
      <c r="K699" s="2"/>
      <c r="L699" s="2"/>
      <c r="M699" s="2"/>
      <c r="N699" s="2"/>
      <c r="O699" s="2"/>
      <c r="P699" s="2"/>
      <c r="Q699" s="2"/>
      <c r="R699" s="2"/>
      <c r="S699" s="2"/>
      <c r="T699" s="2"/>
      <c r="U699" s="2"/>
      <c r="V699" s="2"/>
      <c r="W699" s="2"/>
      <c r="X699" s="2"/>
      <c r="Y699" s="2"/>
      <c r="Z699" s="2"/>
    </row>
    <row r="700">
      <c r="A700" s="2" t="str">
        <f>IFERROR(__xludf.DUMMYFUNCTION("""COMPUTED_VALUE"""),"Plague Doctor's Apron")</f>
        <v>Plague Doctor's Apron</v>
      </c>
      <c r="B700" s="2" t="str">
        <f>IFERROR(__xludf.DUMMYFUNCTION("""COMPUTED_VALUE"""),"The thick leather of this apron ensures that accidents with poison are minimalized.")</f>
        <v>The thick leather of this apron ensures that accidents with poison are minimalized.</v>
      </c>
      <c r="C700" s="2"/>
      <c r="D700" s="2" t="str">
        <f>IFERROR(__xludf.DUMMYFUNCTION("""COMPUTED_VALUE"""),"Torso")</f>
        <v>Torso</v>
      </c>
      <c r="E700" s="2">
        <f>IFERROR(__xludf.DUMMYFUNCTION("""COMPUTED_VALUE"""),1.0)</f>
        <v>1</v>
      </c>
      <c r="F700" s="2" t="str">
        <f>IFERROR(__xludf.DUMMYFUNCTION("""COMPUTED_VALUE""")," ++Spllatter Proof: Immune to poison +-Cannot be Duplicated")</f>
        <v> ++Spllatter Proof: Immune to poison +-Cannot be Duplicated</v>
      </c>
      <c r="G700" s="2">
        <f>IFERROR(__xludf.DUMMYFUNCTION("""COMPUTED_VALUE"""),0.0)</f>
        <v>0</v>
      </c>
      <c r="H700" s="2"/>
      <c r="I700" s="2"/>
      <c r="J700" s="2"/>
      <c r="K700" s="2"/>
      <c r="L700" s="2"/>
      <c r="M700" s="2"/>
      <c r="N700" s="2"/>
      <c r="O700" s="2"/>
      <c r="P700" s="2"/>
      <c r="Q700" s="2"/>
      <c r="R700" s="2"/>
      <c r="S700" s="2"/>
      <c r="T700" s="2"/>
      <c r="U700" s="2"/>
      <c r="V700" s="2"/>
      <c r="W700" s="2"/>
      <c r="X700" s="2"/>
      <c r="Y700" s="2"/>
      <c r="Z700" s="2"/>
    </row>
    <row r="701">
      <c r="A701" s="2" t="str">
        <f>IFERROR(__xludf.DUMMYFUNCTION("""COMPUTED_VALUE"""),"Poisonous Hand Crossbow")</f>
        <v>Poisonous Hand Crossbow</v>
      </c>
      <c r="B701" s="2" t="str">
        <f>IFERROR(__xludf.DUMMYFUNCTION("""COMPUTED_VALUE"""),"""Because sometimes the only viable tactic, is a dirty one"" ~Gwennivir")</f>
        <v>"Because sometimes the only viable tactic, is a dirty one" ~Gwennivir</v>
      </c>
      <c r="C701" s="2" t="str">
        <f>IFERROR(__xludf.DUMMYFUNCTION("""COMPUTED_VALUE"""),"Bow")</f>
        <v>Bow</v>
      </c>
      <c r="D701" s="2" t="str">
        <f>IFERROR(__xludf.DUMMYFUNCTION("""COMPUTED_VALUE"""),"Hand")</f>
        <v>Hand</v>
      </c>
      <c r="E701" s="2">
        <f>IFERROR(__xludf.DUMMYFUNCTION("""COMPUTED_VALUE"""),1000.0)</f>
        <v>1000</v>
      </c>
      <c r="F701" s="2" t="str">
        <f>IFERROR(__xludf.DUMMYFUNCTION("""COMPUTED_VALUE"""),"DMG: +50000 ++Poisoned I: Hitting an enemy with this weapon inflicts 500 poison")</f>
        <v>DMG: +50000 ++Poisoned I: Hitting an enemy with this weapon inflicts 500 poison</v>
      </c>
      <c r="G701" s="2">
        <f>IFERROR(__xludf.DUMMYFUNCTION("""COMPUTED_VALUE"""),4.95E7)</f>
        <v>49500000</v>
      </c>
      <c r="H701" s="2"/>
      <c r="I701" s="2"/>
      <c r="J701" s="2"/>
      <c r="K701" s="2"/>
      <c r="L701" s="2"/>
      <c r="M701" s="2"/>
      <c r="N701" s="2"/>
      <c r="O701" s="2"/>
      <c r="P701" s="2"/>
      <c r="Q701" s="2"/>
      <c r="R701" s="2"/>
      <c r="S701" s="2"/>
      <c r="T701" s="2"/>
      <c r="U701" s="2"/>
      <c r="V701" s="2"/>
      <c r="W701" s="2"/>
      <c r="X701" s="2"/>
      <c r="Y701" s="2"/>
      <c r="Z701" s="2"/>
    </row>
    <row r="702">
      <c r="A702" s="2" t="str">
        <f>IFERROR(__xludf.DUMMYFUNCTION("""COMPUTED_VALUE"""),"Poison Tipped Knife")</f>
        <v>Poison Tipped Knife</v>
      </c>
      <c r="B702" s="2" t="str">
        <f>IFERROR(__xludf.DUMMYFUNCTION("""COMPUTED_VALUE"""),"""It isn't the most graceful end, and it isn't quick by any means... What, you thought I'd defend it?"" ~Gwennivir")</f>
        <v>"It isn't the most graceful end, and it isn't quick by any means... What, you thought I'd defend it?" ~Gwennivir</v>
      </c>
      <c r="C702" s="2" t="str">
        <f>IFERROR(__xludf.DUMMYFUNCTION("""COMPUTED_VALUE"""),"Knife")</f>
        <v>Knife</v>
      </c>
      <c r="D702" s="2" t="str">
        <f>IFERROR(__xludf.DUMMYFUNCTION("""COMPUTED_VALUE"""),"Hand")</f>
        <v>Hand</v>
      </c>
      <c r="E702" s="2">
        <f>IFERROR(__xludf.DUMMYFUNCTION("""COMPUTED_VALUE"""),1000.0)</f>
        <v>1000</v>
      </c>
      <c r="F702" s="2" t="str">
        <f>IFERROR(__xludf.DUMMYFUNCTION("""COMPUTED_VALUE"""),"DMG: +50000 ++Poisoned I: Hitting an enemy with this weapon inflicts 500 poison")</f>
        <v>DMG: +50000 ++Poisoned I: Hitting an enemy with this weapon inflicts 500 poison</v>
      </c>
      <c r="G702" s="2">
        <f>IFERROR(__xludf.DUMMYFUNCTION("""COMPUTED_VALUE"""),4.95E7)</f>
        <v>49500000</v>
      </c>
      <c r="H702" s="2"/>
      <c r="I702" s="2"/>
      <c r="J702" s="2"/>
      <c r="K702" s="2"/>
      <c r="L702" s="2"/>
      <c r="M702" s="2"/>
      <c r="N702" s="2"/>
      <c r="O702" s="2"/>
      <c r="P702" s="2"/>
      <c r="Q702" s="2"/>
      <c r="R702" s="2"/>
      <c r="S702" s="2"/>
      <c r="T702" s="2"/>
      <c r="U702" s="2"/>
      <c r="V702" s="2"/>
      <c r="W702" s="2"/>
      <c r="X702" s="2"/>
      <c r="Y702" s="2"/>
      <c r="Z702" s="2"/>
    </row>
    <row r="703">
      <c r="A703" s="2" t="str">
        <f>IFERROR(__xludf.DUMMYFUNCTION("""COMPUTED_VALUE"""),"Frozen Head-Splitter")</f>
        <v>Frozen Head-Splitter</v>
      </c>
      <c r="B703" s="2" t="str">
        <f>IFERROR(__xludf.DUMMYFUNCTION("""COMPUTED_VALUE"""),"""Those trolls in the northern territories, who do you think taught them how to use those clubs they always carry around? It's as if they simply learned it overnight one day."" ~Mysterious Merchant")</f>
        <v>"Those trolls in the northern territories, who do you think taught them how to use those clubs they always carry around? It's as if they simply learned it overnight one day." ~Mysterious Merchant</v>
      </c>
      <c r="C703" s="2" t="str">
        <f>IFERROR(__xludf.DUMMYFUNCTION("""COMPUTED_VALUE"""),"Club")</f>
        <v>Club</v>
      </c>
      <c r="D703" s="2" t="str">
        <f>IFERROR(__xludf.DUMMYFUNCTION("""COMPUTED_VALUE"""),"Hand")</f>
        <v>Hand</v>
      </c>
      <c r="E703" s="2">
        <f>IFERROR(__xludf.DUMMYFUNCTION("""COMPUTED_VALUE"""),1200.0)</f>
        <v>1200</v>
      </c>
      <c r="F703" s="2" t="str">
        <f>IFERROR(__xludf.DUMMYFUNCTION("""COMPUTED_VALUE"""),"DMG: +50000, Storm DMG: +10000 ++Big Bashin' Stick - 25% chance to stun an enemy upon hitting them for 2 rounds(percent stacks with weapon ability), ++Big Freezin' Stick - 15% chance to freeze an enemy upon hitting them")</f>
        <v>DMG: +50000, Storm DMG: +10000 ++Big Bashin' Stick - 25% chance to stun an enemy upon hitting them for 2 rounds(percent stacks with weapon ability), ++Big Freezin' Stick - 15% chance to freeze an enemy upon hitting them</v>
      </c>
      <c r="G703" s="2">
        <f>IFERROR(__xludf.DUMMYFUNCTION("""COMPUTED_VALUE"""),7.14E7)</f>
        <v>71400000</v>
      </c>
      <c r="H703" s="2"/>
      <c r="I703" s="2"/>
      <c r="J703" s="2"/>
      <c r="K703" s="2"/>
      <c r="L703" s="2"/>
      <c r="M703" s="2"/>
      <c r="N703" s="2"/>
      <c r="O703" s="2"/>
      <c r="P703" s="2"/>
      <c r="Q703" s="2"/>
      <c r="R703" s="2"/>
      <c r="S703" s="2"/>
      <c r="T703" s="2"/>
      <c r="U703" s="2"/>
      <c r="V703" s="2"/>
      <c r="W703" s="2"/>
      <c r="X703" s="2"/>
      <c r="Y703" s="2"/>
      <c r="Z703" s="2"/>
    </row>
    <row r="704">
      <c r="A704" s="2" t="str">
        <f>IFERROR(__xludf.DUMMYFUNCTION("""COMPUTED_VALUE"""),"Fireball Cannon")</f>
        <v>Fireball Cannon</v>
      </c>
      <c r="B704" s="2" t="str">
        <f>IFERROR(__xludf.DUMMYFUNCTION("""COMPUTED_VALUE"""),"""Sometimes fire is the only answer to the question,"" ~Gwennivir")</f>
        <v>"Sometimes fire is the only answer to the question," ~Gwennivir</v>
      </c>
      <c r="C704" s="2" t="str">
        <f>IFERROR(__xludf.DUMMYFUNCTION("""COMPUTED_VALUE"""),"Firearm")</f>
        <v>Firearm</v>
      </c>
      <c r="D704" s="2" t="str">
        <f>IFERROR(__xludf.DUMMYFUNCTION("""COMPUTED_VALUE"""),"BoatGun")</f>
        <v>BoatGun</v>
      </c>
      <c r="E704" s="2">
        <f>IFERROR(__xludf.DUMMYFUNCTION("""COMPUTED_VALUE"""),1000.0)</f>
        <v>1000</v>
      </c>
      <c r="F704" s="2" t="str">
        <f>IFERROR(__xludf.DUMMYFUNCTION("""COMPUTED_VALUE"""),"DMG: +30000, Fire DMG: +20000 ++Burn 10,000. ++Requires Fire Cannon Balls")</f>
        <v>DMG: +30000, Fire DMG: +20000 ++Burn 10,000. ++Requires Fire Cannon Balls</v>
      </c>
      <c r="G704" s="2">
        <f>IFERROR(__xludf.DUMMYFUNCTION("""COMPUTED_VALUE"""),4.95E7)</f>
        <v>49500000</v>
      </c>
      <c r="H704" s="2"/>
      <c r="I704" s="2"/>
      <c r="J704" s="2"/>
      <c r="K704" s="2"/>
      <c r="L704" s="2"/>
      <c r="M704" s="2"/>
      <c r="N704" s="2"/>
      <c r="O704" s="2"/>
      <c r="P704" s="2"/>
      <c r="Q704" s="2"/>
      <c r="R704" s="2"/>
      <c r="S704" s="2"/>
      <c r="T704" s="2"/>
      <c r="U704" s="2"/>
      <c r="V704" s="2"/>
      <c r="W704" s="2"/>
      <c r="X704" s="2"/>
      <c r="Y704" s="2"/>
      <c r="Z704" s="2"/>
    </row>
    <row r="705">
      <c r="A705" s="2" t="str">
        <f>IFERROR(__xludf.DUMMYFUNCTION("""COMPUTED_VALUE"""),"Harpoon Gun")</f>
        <v>Harpoon Gun</v>
      </c>
      <c r="B705" s="2" t="str">
        <f>IFERROR(__xludf.DUMMYFUNCTION("""COMPUTED_VALUE"""),"""You could use this for whaling and shark hunting, or you could use it to catch a few pirates, I don't judge,"" ~Gwennivir")</f>
        <v>"You could use this for whaling and shark hunting, or you could use it to catch a few pirates, I don't judge," ~Gwennivir</v>
      </c>
      <c r="C705" s="2" t="str">
        <f>IFERROR(__xludf.DUMMYFUNCTION("""COMPUTED_VALUE"""),"Spear")</f>
        <v>Spear</v>
      </c>
      <c r="D705" s="2" t="str">
        <f>IFERROR(__xludf.DUMMYFUNCTION("""COMPUTED_VALUE"""),"BoatGun")</f>
        <v>BoatGun</v>
      </c>
      <c r="E705" s="2">
        <f>IFERROR(__xludf.DUMMYFUNCTION("""COMPUTED_VALUE"""),400.0)</f>
        <v>400</v>
      </c>
      <c r="F705" s="2" t="str">
        <f>IFERROR(__xludf.DUMMYFUNCTION("""COMPUTED_VALUE"""),"DMG: +10000, Blood DMG: +10000 ++Bleed 10,000. ")</f>
        <v>DMG: +10000, Blood DMG: +10000 ++Bleed 10,000. </v>
      </c>
      <c r="G705" s="2">
        <f>IFERROR(__xludf.DUMMYFUNCTION("""COMPUTED_VALUE"""),7800000.0)</f>
        <v>7800000</v>
      </c>
      <c r="H705" s="2"/>
      <c r="I705" s="2"/>
      <c r="J705" s="2"/>
      <c r="K705" s="2"/>
      <c r="L705" s="2"/>
      <c r="M705" s="2"/>
      <c r="N705" s="2"/>
      <c r="O705" s="2"/>
      <c r="P705" s="2"/>
      <c r="Q705" s="2"/>
      <c r="R705" s="2"/>
      <c r="S705" s="2"/>
      <c r="T705" s="2"/>
      <c r="U705" s="2"/>
      <c r="V705" s="2"/>
      <c r="W705" s="2"/>
      <c r="X705" s="2"/>
      <c r="Y705" s="2"/>
      <c r="Z705" s="2"/>
    </row>
    <row r="706">
      <c r="A706" s="2" t="str">
        <f>IFERROR(__xludf.DUMMYFUNCTION("""COMPUTED_VALUE"""),"Torpedo Launcher")</f>
        <v>Torpedo Launcher</v>
      </c>
      <c r="B706" s="2" t="str">
        <f>IFERROR(__xludf.DUMMYFUNCTION("""COMPUTED_VALUE"""),"""Sometimes you need a little more bang for your buck, in those times you need a torpedo,"" ~Gwennivir")</f>
        <v>"Sometimes you need a little more bang for your buck, in those times you need a torpedo," ~Gwennivir</v>
      </c>
      <c r="C706" s="2" t="str">
        <f>IFERROR(__xludf.DUMMYFUNCTION("""COMPUTED_VALUE"""),"Firearm")</f>
        <v>Firearm</v>
      </c>
      <c r="D706" s="2" t="str">
        <f>IFERROR(__xludf.DUMMYFUNCTION("""COMPUTED_VALUE"""),"BoatGun")</f>
        <v>BoatGun</v>
      </c>
      <c r="E706" s="2">
        <f>IFERROR(__xludf.DUMMYFUNCTION("""COMPUTED_VALUE"""),1000.0)</f>
        <v>1000</v>
      </c>
      <c r="F706" s="2" t="str">
        <f>IFERROR(__xludf.DUMMYFUNCTION("""COMPUTED_VALUE"""),"DMG: +50000 ++ Requires Torpedos")</f>
        <v>DMG: +50000 ++ Requires Torpedos</v>
      </c>
      <c r="G706" s="2">
        <f>IFERROR(__xludf.DUMMYFUNCTION("""COMPUTED_VALUE"""),4.95E7)</f>
        <v>49500000</v>
      </c>
      <c r="H706" s="2"/>
      <c r="I706" s="2"/>
      <c r="J706" s="2"/>
      <c r="K706" s="2"/>
      <c r="L706" s="2"/>
      <c r="M706" s="2"/>
      <c r="N706" s="2"/>
      <c r="O706" s="2"/>
      <c r="P706" s="2"/>
      <c r="Q706" s="2"/>
      <c r="R706" s="2"/>
      <c r="S706" s="2"/>
      <c r="T706" s="2"/>
      <c r="U706" s="2"/>
      <c r="V706" s="2"/>
      <c r="W706" s="2"/>
      <c r="X706" s="2"/>
      <c r="Y706" s="2"/>
      <c r="Z706" s="2"/>
    </row>
    <row r="707">
      <c r="A707" s="2" t="str">
        <f>IFERROR(__xludf.DUMMYFUNCTION("""COMPUTED_VALUE"""),"Double Barrel Shotgun")</f>
        <v>Double Barrel Shotgun</v>
      </c>
      <c r="B707" s="2" t="str">
        <f>IFERROR(__xludf.DUMMYFUNCTION("""COMPUTED_VALUE"""),"""Because what's better than one barrel? Two,"" ~Gwennivir")</f>
        <v>"Because what's better than one barrel? Two," ~Gwennivir</v>
      </c>
      <c r="C707" s="2" t="str">
        <f>IFERROR(__xludf.DUMMYFUNCTION("""COMPUTED_VALUE"""),"Firearm")</f>
        <v>Firearm</v>
      </c>
      <c r="D707" s="2" t="str">
        <f>IFERROR(__xludf.DUMMYFUNCTION("""COMPUTED_VALUE"""),"Hand")</f>
        <v>Hand</v>
      </c>
      <c r="E707" s="2">
        <f>IFERROR(__xludf.DUMMYFUNCTION("""COMPUTED_VALUE"""),800.0)</f>
        <v>800</v>
      </c>
      <c r="F707" s="2" t="str">
        <f>IFERROR(__xludf.DUMMYFUNCTION("""COMPUTED_VALUE"""),"DMG: +20000, Blood DMG: +20000 ++You can use this Firearm twice on your turn during battle if you attack with it +-Cannot be forged +-Cannot be duplicated")</f>
        <v>DMG: +20000, Blood DMG: +20000 ++You can use this Firearm twice on your turn during battle if you attack with it +-Cannot be forged +-Cannot be duplicated</v>
      </c>
      <c r="G707" s="2">
        <f>IFERROR(__xludf.DUMMYFUNCTION("""COMPUTED_VALUE"""),3.16E7)</f>
        <v>31600000</v>
      </c>
      <c r="H707" s="2"/>
      <c r="I707" s="2"/>
      <c r="J707" s="2"/>
      <c r="K707" s="2"/>
      <c r="L707" s="2"/>
      <c r="M707" s="2"/>
      <c r="N707" s="2"/>
      <c r="O707" s="2"/>
      <c r="P707" s="2"/>
      <c r="Q707" s="2"/>
      <c r="R707" s="2"/>
      <c r="S707" s="2"/>
      <c r="T707" s="2"/>
      <c r="U707" s="2"/>
      <c r="V707" s="2"/>
      <c r="W707" s="2"/>
      <c r="X707" s="2"/>
      <c r="Y707" s="2"/>
      <c r="Z707" s="2"/>
    </row>
    <row r="708">
      <c r="A708" s="2" t="str">
        <f>IFERROR(__xludf.DUMMYFUNCTION("""COMPUTED_VALUE"""),"Single Barrel Shotgun")</f>
        <v>Single Barrel Shotgun</v>
      </c>
      <c r="B708" s="2" t="str">
        <f>IFERROR(__xludf.DUMMYFUNCTION("""COMPUTED_VALUE"""),"""For when you want to put more than one hole in your enemies at a time"" ~Gwennivir")</f>
        <v>"For when you want to put more than one hole in your enemies at a time" ~Gwennivir</v>
      </c>
      <c r="C708" s="2" t="str">
        <f>IFERROR(__xludf.DUMMYFUNCTION("""COMPUTED_VALUE"""),"Firearm")</f>
        <v>Firearm</v>
      </c>
      <c r="D708" s="2" t="str">
        <f>IFERROR(__xludf.DUMMYFUNCTION("""COMPUTED_VALUE"""),"Hand")</f>
        <v>Hand</v>
      </c>
      <c r="E708" s="2">
        <f>IFERROR(__xludf.DUMMYFUNCTION("""COMPUTED_VALUE"""),400.0)</f>
        <v>400</v>
      </c>
      <c r="F708" s="2" t="str">
        <f>IFERROR(__xludf.DUMMYFUNCTION("""COMPUTED_VALUE"""),"DMG: +10000, Blood DMG: +10000")</f>
        <v>DMG: +10000, Blood DMG: +10000</v>
      </c>
      <c r="G708" s="2">
        <f>IFERROR(__xludf.DUMMYFUNCTION("""COMPUTED_VALUE"""),7800000.0)</f>
        <v>7800000</v>
      </c>
      <c r="H708" s="2"/>
      <c r="I708" s="2"/>
      <c r="J708" s="2"/>
      <c r="K708" s="2"/>
      <c r="L708" s="2"/>
      <c r="M708" s="2"/>
      <c r="N708" s="2"/>
      <c r="O708" s="2"/>
      <c r="P708" s="2"/>
      <c r="Q708" s="2"/>
      <c r="R708" s="2"/>
      <c r="S708" s="2"/>
      <c r="T708" s="2"/>
      <c r="U708" s="2"/>
      <c r="V708" s="2"/>
      <c r="W708" s="2"/>
      <c r="X708" s="2"/>
      <c r="Y708" s="2"/>
      <c r="Z708" s="2"/>
    </row>
    <row r="709">
      <c r="A709" s="2" t="str">
        <f>IFERROR(__xludf.DUMMYFUNCTION("""COMPUTED_VALUE"""),"Poison Staff")</f>
        <v>Poison Staff</v>
      </c>
      <c r="B709" s="2" t="str">
        <f>IFERROR(__xludf.DUMMYFUNCTION("""COMPUTED_VALUE"""),"""Poison is generally looked down upon as a cowardly tactic by all but the poison master, but you must admit to it's efficieny"" ~Poison Master Hun")</f>
        <v>"Poison is generally looked down upon as a cowardly tactic by all but the poison master, but you must admit to it's efficieny" ~Poison Master Hun</v>
      </c>
      <c r="C709" s="2" t="str">
        <f>IFERROR(__xludf.DUMMYFUNCTION("""COMPUTED_VALUE"""),"Staff")</f>
        <v>Staff</v>
      </c>
      <c r="D709" s="2" t="str">
        <f>IFERROR(__xludf.DUMMYFUNCTION("""COMPUTED_VALUE"""),"Hand")</f>
        <v>Hand</v>
      </c>
      <c r="E709" s="2">
        <f>IFERROR(__xludf.DUMMYFUNCTION("""COMPUTED_VALUE"""),2000.0)</f>
        <v>2000</v>
      </c>
      <c r="F709" s="2" t="str">
        <f>IFERROR(__xludf.DUMMYFUNCTION("""COMPUTED_VALUE"""),", Nature DMG: +100000 ++ Poison 20,000")</f>
        <v>, Nature DMG: +100000 ++ Poison 20,000</v>
      </c>
      <c r="G709" s="2">
        <f>IFERROR(__xludf.DUMMYFUNCTION("""COMPUTED_VALUE"""),1.99E8)</f>
        <v>199000000</v>
      </c>
      <c r="H709" s="2"/>
      <c r="I709" s="2"/>
      <c r="J709" s="2"/>
      <c r="K709" s="2"/>
      <c r="L709" s="2"/>
      <c r="M709" s="2"/>
      <c r="N709" s="2"/>
      <c r="O709" s="2"/>
      <c r="P709" s="2"/>
      <c r="Q709" s="2"/>
      <c r="R709" s="2"/>
      <c r="S709" s="2"/>
      <c r="T709" s="2"/>
      <c r="U709" s="2"/>
      <c r="V709" s="2"/>
      <c r="W709" s="2"/>
      <c r="X709" s="2"/>
      <c r="Y709" s="2"/>
      <c r="Z709" s="2"/>
    </row>
    <row r="710">
      <c r="A710" s="2" t="str">
        <f>IFERROR(__xludf.DUMMYFUNCTION("""COMPUTED_VALUE"""),"Chameldrians Staff of Thriving Blossoms")</f>
        <v>Chameldrians Staff of Thriving Blossoms</v>
      </c>
      <c r="B710" s="2" t="str">
        <f>IFERROR(__xludf.DUMMYFUNCTION("""COMPUTED_VALUE"""),"""Truly a beatiful show of Chameldrian craftsmanship, too bad it's more often than not going to be pointed at you"" ~Poison Master Hun")</f>
        <v>"Truly a beatiful show of Chameldrian craftsmanship, too bad it's more often than not going to be pointed at you" ~Poison Master Hun</v>
      </c>
      <c r="C710" s="2" t="str">
        <f>IFERROR(__xludf.DUMMYFUNCTION("""COMPUTED_VALUE"""),"Staff")</f>
        <v>Staff</v>
      </c>
      <c r="D710" s="2" t="str">
        <f>IFERROR(__xludf.DUMMYFUNCTION("""COMPUTED_VALUE"""),"Hand")</f>
        <v>Hand</v>
      </c>
      <c r="E710" s="2">
        <f>IFERROR(__xludf.DUMMYFUNCTION("""COMPUTED_VALUE"""),2000.0)</f>
        <v>2000</v>
      </c>
      <c r="F710" s="2" t="str">
        <f>IFERROR(__xludf.DUMMYFUNCTION("""COMPUTED_VALUE"""),", Nature : +100000 ++Natures Shield - If you take damage that would kill you, you will live at 1hp once per battle. +-Cannot be forged. +-Cannot be duplicated.")</f>
        <v>, Nature : +100000 ++Natures Shield - If you take damage that would kill you, you will live at 1hp once per battle. +-Cannot be forged. +-Cannot be duplicated.</v>
      </c>
      <c r="G710" s="2">
        <f>IFERROR(__xludf.DUMMYFUNCTION("""COMPUTED_VALUE"""),1.99E8)</f>
        <v>199000000</v>
      </c>
      <c r="H710" s="2"/>
      <c r="I710" s="2"/>
      <c r="J710" s="2"/>
      <c r="K710" s="2"/>
      <c r="L710" s="2"/>
      <c r="M710" s="2"/>
      <c r="N710" s="2"/>
      <c r="O710" s="2"/>
      <c r="P710" s="2"/>
      <c r="Q710" s="2"/>
      <c r="R710" s="2"/>
      <c r="S710" s="2"/>
      <c r="T710" s="2"/>
      <c r="U710" s="2"/>
      <c r="V710" s="2"/>
      <c r="W710" s="2"/>
      <c r="X710" s="2"/>
      <c r="Y710" s="2"/>
      <c r="Z710" s="2"/>
    </row>
    <row r="711">
      <c r="A711" s="2" t="str">
        <f>IFERROR(__xludf.DUMMYFUNCTION("""COMPUTED_VALUE"""),"Cooper's Memento")</f>
        <v>Cooper's Memento</v>
      </c>
      <c r="B711" s="2" t="str">
        <f>IFERROR(__xludf.DUMMYFUNCTION("""COMPUTED_VALUE"""),"A small stopwatch, the ticking has stopped.")</f>
        <v>A small stopwatch, the ticking has stopped.</v>
      </c>
      <c r="C711" s="2" t="str">
        <f>IFERROR(__xludf.DUMMYFUNCTION("""COMPUTED_VALUE"""),"Item")</f>
        <v>Item</v>
      </c>
      <c r="D711" s="2" t="str">
        <f>IFERROR(__xludf.DUMMYFUNCTION("""COMPUTED_VALUE"""),"Arms")</f>
        <v>Arms</v>
      </c>
      <c r="E711" s="2">
        <f>IFERROR(__xludf.DUMMYFUNCTION("""COMPUTED_VALUE"""),1.0)</f>
        <v>1</v>
      </c>
      <c r="F711" s="2" t="str">
        <f>IFERROR(__xludf.DUMMYFUNCTION("""COMPUTED_VALUE""")," ++15% chance to be unaffected by a curse")</f>
        <v> ++15% chance to be unaffected by a curse</v>
      </c>
      <c r="G711" s="2">
        <f>IFERROR(__xludf.DUMMYFUNCTION("""COMPUTED_VALUE"""),0.0)</f>
        <v>0</v>
      </c>
      <c r="H711" s="2"/>
      <c r="I711" s="2"/>
      <c r="J711" s="2"/>
      <c r="K711" s="2"/>
      <c r="L711" s="2"/>
      <c r="M711" s="2"/>
      <c r="N711" s="2"/>
      <c r="O711" s="2"/>
      <c r="P711" s="2"/>
      <c r="Q711" s="2"/>
      <c r="R711" s="2"/>
      <c r="S711" s="2"/>
      <c r="T711" s="2"/>
      <c r="U711" s="2"/>
      <c r="V711" s="2"/>
      <c r="W711" s="2"/>
      <c r="X711" s="2"/>
      <c r="Y711" s="2"/>
      <c r="Z711" s="2"/>
    </row>
    <row r="712">
      <c r="A712" s="2" t="str">
        <f>IFERROR(__xludf.DUMMYFUNCTION("""COMPUTED_VALUE"""),"Gaian Champion's Shield")</f>
        <v>Gaian Champion's Shield</v>
      </c>
      <c r="B712" s="2" t="str">
        <f>IFERROR(__xludf.DUMMYFUNCTION("""COMPUTED_VALUE"""),"""We are born to be the shield of the people, too many paladins forget this simple fact"" ~Grisaia")</f>
        <v>"We are born to be the shield of the people, too many paladins forget this simple fact" ~Grisaia</v>
      </c>
      <c r="C712" s="2" t="str">
        <f>IFERROR(__xludf.DUMMYFUNCTION("""COMPUTED_VALUE"""),"Towershield")</f>
        <v>Towershield</v>
      </c>
      <c r="D712" s="2" t="str">
        <f>IFERROR(__xludf.DUMMYFUNCTION("""COMPUTED_VALUE"""),"Hand")</f>
        <v>Hand</v>
      </c>
      <c r="E712" s="2">
        <f>IFERROR(__xludf.DUMMYFUNCTION("""COMPUTED_VALUE"""),200.0)</f>
        <v>200</v>
      </c>
      <c r="F712" s="2" t="str">
        <f>IFERROR(__xludf.DUMMYFUNCTION("""COMPUTED_VALUE"""),"DEF: +50000, Fire DEF: +50000, Storm DEF: +50000, Earth DEF: +50000, Celestial DEF: +50000 ++15% chance to prevent an ally from taking damage when hit by an attack. ++X6 Earth Damage +-Cannot be Duplicated")</f>
        <v>DEF: +50000, Fire DEF: +50000, Storm DEF: +50000, Earth DEF: +50000, Celestial DEF: +50000 ++15% chance to prevent an ally from taking damage when hit by an attack. ++X6 Earth Damage +-Cannot be Duplicated</v>
      </c>
      <c r="G712" s="2">
        <f>IFERROR(__xludf.DUMMYFUNCTION("""COMPUTED_VALUE"""),1.2475E9)</f>
        <v>1247500000</v>
      </c>
      <c r="H712" s="2"/>
      <c r="I712" s="2"/>
      <c r="J712" s="2"/>
      <c r="K712" s="2"/>
      <c r="L712" s="2"/>
      <c r="M712" s="2"/>
      <c r="N712" s="2"/>
      <c r="O712" s="2"/>
      <c r="P712" s="2"/>
      <c r="Q712" s="2"/>
      <c r="R712" s="2"/>
      <c r="S712" s="2"/>
      <c r="T712" s="2"/>
      <c r="U712" s="2"/>
      <c r="V712" s="2"/>
      <c r="W712" s="2"/>
      <c r="X712" s="2"/>
      <c r="Y712" s="2"/>
      <c r="Z712" s="2"/>
    </row>
    <row r="713">
      <c r="A713" s="2" t="str">
        <f>IFERROR(__xludf.DUMMYFUNCTION("""COMPUTED_VALUE"""),"The Billowing Bludgeon")</f>
        <v>The Billowing Bludgeon</v>
      </c>
      <c r="B713" s="2" t="str">
        <f>IFERROR(__xludf.DUMMYFUNCTION("""COMPUTED_VALUE"""),"""Sure, you could use this as how a staff is supposed to be used, but hitting your enemy on the head with it is more fun"" ~Fire Tiki Mountain Shaman")</f>
        <v>"Sure, you could use this as how a staff is supposed to be used, but hitting your enemy on the head with it is more fun" ~Fire Tiki Mountain Shaman</v>
      </c>
      <c r="C713" s="2" t="str">
        <f>IFERROR(__xludf.DUMMYFUNCTION("""COMPUTED_VALUE"""),"Staff")</f>
        <v>Staff</v>
      </c>
      <c r="D713" s="2" t="str">
        <f>IFERROR(__xludf.DUMMYFUNCTION("""COMPUTED_VALUE"""),"Hand")</f>
        <v>Hand</v>
      </c>
      <c r="E713" s="2">
        <f>IFERROR(__xludf.DUMMYFUNCTION("""COMPUTED_VALUE"""),200.0)</f>
        <v>200</v>
      </c>
      <c r="F713" s="2" t="str">
        <f>IFERROR(__xludf.DUMMYFUNCTION("""COMPUTED_VALUE"""),"DMG: +75000, Fire DMG: +75000, Earth DMG: +75000, Celestial DMG: +75000 ++X6 Earth and Fire damage. ++Additional X6 Earth and Fire damage if the enemy is Vulerable to either damage type. ++Billowing Smoke - Cover the field in smoke and flames giving enemi"&amp;"es Blindness 3 and Burn 5000 for 3 rounds. 1000 sp")</f>
        <v>DMG: +75000, Fire DMG: +75000, Earth DMG: +75000, Celestial DMG: +75000 ++X6 Earth and Fire damage. ++Additional X6 Earth and Fire damage if the enemy is Vulerable to either damage type. ++Billowing Smoke - Cover the field in smoke and flames giving enemies Blindness 3 and Burn 5000 for 3 rounds. 1000 sp</v>
      </c>
      <c r="G713" s="2">
        <f>IFERROR(__xludf.DUMMYFUNCTION("""COMPUTED_VALUE"""),1.797E9)</f>
        <v>1797000000</v>
      </c>
      <c r="H713" s="2"/>
      <c r="I713" s="2"/>
      <c r="J713" s="2"/>
      <c r="K713" s="2"/>
      <c r="L713" s="2"/>
      <c r="M713" s="2"/>
      <c r="N713" s="2"/>
      <c r="O713" s="2"/>
      <c r="P713" s="2"/>
      <c r="Q713" s="2"/>
      <c r="R713" s="2"/>
      <c r="S713" s="2"/>
      <c r="T713" s="2"/>
      <c r="U713" s="2"/>
      <c r="V713" s="2"/>
      <c r="W713" s="2"/>
      <c r="X713" s="2"/>
      <c r="Y713" s="2"/>
      <c r="Z713" s="2"/>
    </row>
    <row r="714">
      <c r="A714" s="2" t="str">
        <f>IFERROR(__xludf.DUMMYFUNCTION("""COMPUTED_VALUE"""),"Home Run Bat")</f>
        <v>Home Run Bat</v>
      </c>
      <c r="B714" s="2"/>
      <c r="C714" s="2" t="str">
        <f>IFERROR(__xludf.DUMMYFUNCTION("""COMPUTED_VALUE"""),"Club")</f>
        <v>Club</v>
      </c>
      <c r="D714" s="2" t="str">
        <f>IFERROR(__xludf.DUMMYFUNCTION("""COMPUTED_VALUE"""),"Hand")</f>
        <v>Hand</v>
      </c>
      <c r="E714" s="2">
        <f>IFERROR(__xludf.DUMMYFUNCTION("""COMPUTED_VALUE"""),200.0)</f>
        <v>200</v>
      </c>
      <c r="F714" s="2" t="str">
        <f>IFERROR(__xludf.DUMMYFUNCTION("""COMPUTED_VALUE"""),"DMG: +100000, Celestial DMG: +100000 ++Batter Up! - Plus 2 to turn order roll. ++Home Run - If you roll a 20 or higher while attacking with this weapon the attack roll becomes double. +-Cannot be forged. +-Cannot be duplicated.")</f>
        <v>DMG: +100000, Celestial DMG: +100000 ++Batter Up! - Plus 2 to turn order roll. ++Home Run - If you roll a 20 or higher while attacking with this weapon the attack roll becomes double. +-Cannot be forged. +-Cannot be duplicated.</v>
      </c>
      <c r="G714" s="2">
        <f>IFERROR(__xludf.DUMMYFUNCTION("""COMPUTED_VALUE"""),7.98E8)</f>
        <v>798000000</v>
      </c>
      <c r="H714" s="2"/>
      <c r="I714" s="2"/>
      <c r="J714" s="2"/>
      <c r="K714" s="2"/>
      <c r="L714" s="2"/>
      <c r="M714" s="2"/>
      <c r="N714" s="2"/>
      <c r="O714" s="2"/>
      <c r="P714" s="2"/>
      <c r="Q714" s="2"/>
      <c r="R714" s="2"/>
      <c r="S714" s="2"/>
      <c r="T714" s="2"/>
      <c r="U714" s="2"/>
      <c r="V714" s="2"/>
      <c r="W714" s="2"/>
      <c r="X714" s="2"/>
      <c r="Y714" s="2"/>
      <c r="Z714" s="2"/>
    </row>
    <row r="715">
      <c r="A715" s="2" t="str">
        <f>IFERROR(__xludf.DUMMYFUNCTION("""COMPUTED_VALUE"""),"Lunar New Year Dragon Head")</f>
        <v>Lunar New Year Dragon Head</v>
      </c>
      <c r="B715" s="2"/>
      <c r="C715" s="2" t="str">
        <f>IFERROR(__xludf.DUMMYFUNCTION("""COMPUTED_VALUE"""),"Item")</f>
        <v>Item</v>
      </c>
      <c r="D715" s="2" t="str">
        <f>IFERROR(__xludf.DUMMYFUNCTION("""COMPUTED_VALUE"""),"Head")</f>
        <v>Head</v>
      </c>
      <c r="E715" s="2">
        <f>IFERROR(__xludf.DUMMYFUNCTION("""COMPUTED_VALUE"""),200.0)</f>
        <v>200</v>
      </c>
      <c r="F715" s="2" t="str">
        <f>IFERROR(__xludf.DUMMYFUNCTION("""COMPUTED_VALUE"""),"DEF: +25000, Fire DEF: +25000, Celestial DEF: +25000 ++Gain ""Greater Dragon's Breath"" Power. ++X2 additional Fire Damage.")</f>
        <v>DEF: +25000, Fire DEF: +25000, Celestial DEF: +25000 ++Gain "Greater Dragon's Breath" Power. ++X2 additional Fire Damage.</v>
      </c>
      <c r="G715" s="2">
        <f>IFERROR(__xludf.DUMMYFUNCTION("""COMPUTED_VALUE"""),1.1175E8)</f>
        <v>111750000</v>
      </c>
      <c r="H715" s="2"/>
      <c r="I715" s="2"/>
      <c r="J715" s="2"/>
      <c r="K715" s="2"/>
      <c r="L715" s="2"/>
      <c r="M715" s="2"/>
      <c r="N715" s="2"/>
      <c r="O715" s="2"/>
      <c r="P715" s="2"/>
      <c r="Q715" s="2"/>
      <c r="R715" s="2"/>
      <c r="S715" s="2"/>
      <c r="T715" s="2"/>
      <c r="U715" s="2"/>
      <c r="V715" s="2"/>
      <c r="W715" s="2"/>
      <c r="X715" s="2"/>
      <c r="Y715" s="2"/>
      <c r="Z715" s="2"/>
    </row>
    <row r="716">
      <c r="A716" s="2" t="str">
        <f>IFERROR(__xludf.DUMMYFUNCTION("""COMPUTED_VALUE"""),"Lunar New Year Dragon Shoulders")</f>
        <v>Lunar New Year Dragon Shoulders</v>
      </c>
      <c r="B716" s="2"/>
      <c r="C716" s="2" t="str">
        <f>IFERROR(__xludf.DUMMYFUNCTION("""COMPUTED_VALUE"""),"Item")</f>
        <v>Item</v>
      </c>
      <c r="D716" s="2" t="str">
        <f>IFERROR(__xludf.DUMMYFUNCTION("""COMPUTED_VALUE"""),"Shoulders")</f>
        <v>Shoulders</v>
      </c>
      <c r="E716" s="2">
        <f>IFERROR(__xludf.DUMMYFUNCTION("""COMPUTED_VALUE"""),200.0)</f>
        <v>200</v>
      </c>
      <c r="F716" s="2" t="str">
        <f>IFERROR(__xludf.DUMMYFUNCTION("""COMPUTED_VALUE"""),"DEF: +25000, Fire DEF: +25000, Celestial DEF: +25000 ++X2 additional Fire Damage.")</f>
        <v>DEF: +25000, Fire DEF: +25000, Celestial DEF: +25000 ++X2 additional Fire Damage.</v>
      </c>
      <c r="G716" s="2">
        <f>IFERROR(__xludf.DUMMYFUNCTION("""COMPUTED_VALUE"""),1.1175E8)</f>
        <v>111750000</v>
      </c>
      <c r="H716" s="2"/>
      <c r="I716" s="2"/>
      <c r="J716" s="2"/>
      <c r="K716" s="2"/>
      <c r="L716" s="2"/>
      <c r="M716" s="2"/>
      <c r="N716" s="2"/>
      <c r="O716" s="2"/>
      <c r="P716" s="2"/>
      <c r="Q716" s="2"/>
      <c r="R716" s="2"/>
      <c r="S716" s="2"/>
      <c r="T716" s="2"/>
      <c r="U716" s="2"/>
      <c r="V716" s="2"/>
      <c r="W716" s="2"/>
      <c r="X716" s="2"/>
      <c r="Y716" s="2"/>
      <c r="Z716" s="2"/>
    </row>
    <row r="717">
      <c r="A717" s="2" t="str">
        <f>IFERROR(__xludf.DUMMYFUNCTION("""COMPUTED_VALUE"""),"Lunar New Year Dragon Arms")</f>
        <v>Lunar New Year Dragon Arms</v>
      </c>
      <c r="B717" s="2"/>
      <c r="C717" s="2" t="str">
        <f>IFERROR(__xludf.DUMMYFUNCTION("""COMPUTED_VALUE"""),"Item")</f>
        <v>Item</v>
      </c>
      <c r="D717" s="2" t="str">
        <f>IFERROR(__xludf.DUMMYFUNCTION("""COMPUTED_VALUE"""),"Arms")</f>
        <v>Arms</v>
      </c>
      <c r="E717" s="2">
        <f>IFERROR(__xludf.DUMMYFUNCTION("""COMPUTED_VALUE"""),200.0)</f>
        <v>200</v>
      </c>
      <c r="F717" s="2" t="str">
        <f>IFERROR(__xludf.DUMMYFUNCTION("""COMPUTED_VALUE"""),"DEF: +25000, Fire DEF: +25000, Celestial DEF: +25000 ++X2 additional Fire Damage.")</f>
        <v>DEF: +25000, Fire DEF: +25000, Celestial DEF: +25000 ++X2 additional Fire Damage.</v>
      </c>
      <c r="G717" s="2">
        <f>IFERROR(__xludf.DUMMYFUNCTION("""COMPUTED_VALUE"""),1.1175E8)</f>
        <v>111750000</v>
      </c>
      <c r="H717" s="2"/>
      <c r="I717" s="2"/>
      <c r="J717" s="2"/>
      <c r="K717" s="2"/>
      <c r="L717" s="2"/>
      <c r="M717" s="2"/>
      <c r="N717" s="2"/>
      <c r="O717" s="2"/>
      <c r="P717" s="2"/>
      <c r="Q717" s="2"/>
      <c r="R717" s="2"/>
      <c r="S717" s="2"/>
      <c r="T717" s="2"/>
      <c r="U717" s="2"/>
      <c r="V717" s="2"/>
      <c r="W717" s="2"/>
      <c r="X717" s="2"/>
      <c r="Y717" s="2"/>
      <c r="Z717" s="2"/>
    </row>
    <row r="718">
      <c r="A718" s="2" t="str">
        <f>IFERROR(__xludf.DUMMYFUNCTION("""COMPUTED_VALUE"""),"Lunar New Year Dragon Torso")</f>
        <v>Lunar New Year Dragon Torso</v>
      </c>
      <c r="B718" s="2"/>
      <c r="C718" s="2" t="str">
        <f>IFERROR(__xludf.DUMMYFUNCTION("""COMPUTED_VALUE"""),"Item")</f>
        <v>Item</v>
      </c>
      <c r="D718" s="2" t="str">
        <f>IFERROR(__xludf.DUMMYFUNCTION("""COMPUTED_VALUE"""),"Torso")</f>
        <v>Torso</v>
      </c>
      <c r="E718" s="2">
        <f>IFERROR(__xludf.DUMMYFUNCTION("""COMPUTED_VALUE"""),200.0)</f>
        <v>200</v>
      </c>
      <c r="F718" s="2" t="str">
        <f>IFERROR(__xludf.DUMMYFUNCTION("""COMPUTED_VALUE"""),"DEF: +25000, Fire DEF: +25000, Celestial DEF: +25000 ++X2 additional Fire Damage.")</f>
        <v>DEF: +25000, Fire DEF: +25000, Celestial DEF: +25000 ++X2 additional Fire Damage.</v>
      </c>
      <c r="G718" s="2">
        <f>IFERROR(__xludf.DUMMYFUNCTION("""COMPUTED_VALUE"""),1.1175E8)</f>
        <v>111750000</v>
      </c>
      <c r="H718" s="2"/>
      <c r="I718" s="2"/>
      <c r="J718" s="2"/>
      <c r="K718" s="2"/>
      <c r="L718" s="2"/>
      <c r="M718" s="2"/>
      <c r="N718" s="2"/>
      <c r="O718" s="2"/>
      <c r="P718" s="2"/>
      <c r="Q718" s="2"/>
      <c r="R718" s="2"/>
      <c r="S718" s="2"/>
      <c r="T718" s="2"/>
      <c r="U718" s="2"/>
      <c r="V718" s="2"/>
      <c r="W718" s="2"/>
      <c r="X718" s="2"/>
      <c r="Y718" s="2"/>
      <c r="Z718" s="2"/>
    </row>
    <row r="719">
      <c r="A719" s="2" t="str">
        <f>IFERROR(__xludf.DUMMYFUNCTION("""COMPUTED_VALUE"""),"Lunar New Year Dragon Legs")</f>
        <v>Lunar New Year Dragon Legs</v>
      </c>
      <c r="B719" s="2"/>
      <c r="C719" s="2" t="str">
        <f>IFERROR(__xludf.DUMMYFUNCTION("""COMPUTED_VALUE"""),"Item")</f>
        <v>Item</v>
      </c>
      <c r="D719" s="2" t="str">
        <f>IFERROR(__xludf.DUMMYFUNCTION("""COMPUTED_VALUE"""),"Legs")</f>
        <v>Legs</v>
      </c>
      <c r="E719" s="2">
        <f>IFERROR(__xludf.DUMMYFUNCTION("""COMPUTED_VALUE"""),200.0)</f>
        <v>200</v>
      </c>
      <c r="F719" s="2" t="str">
        <f>IFERROR(__xludf.DUMMYFUNCTION("""COMPUTED_VALUE"""),"DEF: +25000, Fire DEF: +25000, Celestial DEF: +25000 ++X2 additional Fire Damage.")</f>
        <v>DEF: +25000, Fire DEF: +25000, Celestial DEF: +25000 ++X2 additional Fire Damage.</v>
      </c>
      <c r="G719" s="2">
        <f>IFERROR(__xludf.DUMMYFUNCTION("""COMPUTED_VALUE"""),1.1175E8)</f>
        <v>111750000</v>
      </c>
      <c r="H719" s="2"/>
      <c r="I719" s="2"/>
      <c r="J719" s="2"/>
      <c r="K719" s="2"/>
      <c r="L719" s="2"/>
      <c r="M719" s="2"/>
      <c r="N719" s="2"/>
      <c r="O719" s="2"/>
      <c r="P719" s="2"/>
      <c r="Q719" s="2"/>
      <c r="R719" s="2"/>
      <c r="S719" s="2"/>
      <c r="T719" s="2"/>
      <c r="U719" s="2"/>
      <c r="V719" s="2"/>
      <c r="W719" s="2"/>
      <c r="X719" s="2"/>
      <c r="Y719" s="2"/>
      <c r="Z719" s="2"/>
    </row>
    <row r="720">
      <c r="A720" s="2" t="str">
        <f>IFERROR(__xludf.DUMMYFUNCTION("""COMPUTED_VALUE"""),"Lunar New Year Dragon Feet")</f>
        <v>Lunar New Year Dragon Feet</v>
      </c>
      <c r="B720" s="2"/>
      <c r="C720" s="2" t="str">
        <f>IFERROR(__xludf.DUMMYFUNCTION("""COMPUTED_VALUE"""),"Item")</f>
        <v>Item</v>
      </c>
      <c r="D720" s="2" t="str">
        <f>IFERROR(__xludf.DUMMYFUNCTION("""COMPUTED_VALUE"""),"Feet")</f>
        <v>Feet</v>
      </c>
      <c r="E720" s="2">
        <f>IFERROR(__xludf.DUMMYFUNCTION("""COMPUTED_VALUE"""),200.0)</f>
        <v>200</v>
      </c>
      <c r="F720" s="2" t="str">
        <f>IFERROR(__xludf.DUMMYFUNCTION("""COMPUTED_VALUE"""),"DEF: +25000, Fire DEF: +25000, Celestial DEF: +25000 ++X2 additional Fire Damage.")</f>
        <v>DEF: +25000, Fire DEF: +25000, Celestial DEF: +25000 ++X2 additional Fire Damage.</v>
      </c>
      <c r="G720" s="2">
        <f>IFERROR(__xludf.DUMMYFUNCTION("""COMPUTED_VALUE"""),1.1175E8)</f>
        <v>111750000</v>
      </c>
      <c r="H720" s="2"/>
      <c r="I720" s="2"/>
      <c r="J720" s="2"/>
      <c r="K720" s="2"/>
      <c r="L720" s="2"/>
      <c r="M720" s="2"/>
      <c r="N720" s="2"/>
      <c r="O720" s="2"/>
      <c r="P720" s="2"/>
      <c r="Q720" s="2"/>
      <c r="R720" s="2"/>
      <c r="S720" s="2"/>
      <c r="T720" s="2"/>
      <c r="U720" s="2"/>
      <c r="V720" s="2"/>
      <c r="W720" s="2"/>
      <c r="X720" s="2"/>
      <c r="Y720" s="2"/>
      <c r="Z720" s="2"/>
    </row>
    <row r="721">
      <c r="A721" s="2" t="str">
        <f>IFERROR(__xludf.DUMMYFUNCTION("""COMPUTED_VALUE"""),"Spirit Blade")</f>
        <v>Spirit Blade</v>
      </c>
      <c r="B721" s="2"/>
      <c r="C721" s="2" t="str">
        <f>IFERROR(__xludf.DUMMYFUNCTION("""COMPUTED_VALUE"""),"Sword")</f>
        <v>Sword</v>
      </c>
      <c r="D721" s="2" t="str">
        <f>IFERROR(__xludf.DUMMYFUNCTION("""COMPUTED_VALUE"""),"Hand")</f>
        <v>Hand</v>
      </c>
      <c r="E721" s="2">
        <f>IFERROR(__xludf.DUMMYFUNCTION("""COMPUTED_VALUE"""),600.0)</f>
        <v>600</v>
      </c>
      <c r="F721" s="2" t="str">
        <f>IFERROR(__xludf.DUMMYFUNCTION("""COMPUTED_VALUE"""),"DMG: +20000, Light DMG: +10000")</f>
        <v>DMG: +20000, Light DMG: +10000</v>
      </c>
      <c r="G721" s="2">
        <f>IFERROR(__xludf.DUMMYFUNCTION("""COMPUTED_VALUE"""),1.77E7)</f>
        <v>17700000</v>
      </c>
      <c r="H721" s="2"/>
      <c r="I721" s="2"/>
      <c r="J721" s="2"/>
      <c r="K721" s="2"/>
      <c r="L721" s="2"/>
      <c r="M721" s="2"/>
      <c r="N721" s="2"/>
      <c r="O721" s="2"/>
      <c r="P721" s="2"/>
      <c r="Q721" s="2"/>
      <c r="R721" s="2"/>
      <c r="S721" s="2"/>
      <c r="T721" s="2"/>
      <c r="U721" s="2"/>
      <c r="V721" s="2"/>
      <c r="W721" s="2"/>
      <c r="X721" s="2"/>
      <c r="Y721" s="2"/>
      <c r="Z721" s="2"/>
    </row>
    <row r="722">
      <c r="A722" s="2" t="str">
        <f>IFERROR(__xludf.DUMMYFUNCTION("""COMPUTED_VALUE"""),"Spirit Shield")</f>
        <v>Spirit Shield</v>
      </c>
      <c r="B722" s="2"/>
      <c r="C722" s="2" t="str">
        <f>IFERROR(__xludf.DUMMYFUNCTION("""COMPUTED_VALUE"""),"Buckler")</f>
        <v>Buckler</v>
      </c>
      <c r="D722" s="2" t="str">
        <f>IFERROR(__xludf.DUMMYFUNCTION("""COMPUTED_VALUE"""),"Hand")</f>
        <v>Hand</v>
      </c>
      <c r="E722" s="2">
        <f>IFERROR(__xludf.DUMMYFUNCTION("""COMPUTED_VALUE"""),600.0)</f>
        <v>600</v>
      </c>
      <c r="F722" s="2" t="str">
        <f>IFERROR(__xludf.DUMMYFUNCTION("""COMPUTED_VALUE"""),"DEF: +20000, Light DEF: +10000")</f>
        <v>DEF: +20000, Light DEF: +10000</v>
      </c>
      <c r="G722" s="2">
        <f>IFERROR(__xludf.DUMMYFUNCTION("""COMPUTED_VALUE"""),1.77E7)</f>
        <v>17700000</v>
      </c>
      <c r="H722" s="2"/>
      <c r="I722" s="2"/>
      <c r="J722" s="2"/>
      <c r="K722" s="2"/>
      <c r="L722" s="2"/>
      <c r="M722" s="2"/>
      <c r="N722" s="2"/>
      <c r="O722" s="2"/>
      <c r="P722" s="2"/>
      <c r="Q722" s="2"/>
      <c r="R722" s="2"/>
      <c r="S722" s="2"/>
      <c r="T722" s="2"/>
      <c r="U722" s="2"/>
      <c r="V722" s="2"/>
      <c r="W722" s="2"/>
      <c r="X722" s="2"/>
      <c r="Y722" s="2"/>
      <c r="Z722" s="2"/>
    </row>
    <row r="723">
      <c r="A723" s="2" t="str">
        <f>IFERROR(__xludf.DUMMYFUNCTION("""COMPUTED_VALUE"""),"Mage's Hood")</f>
        <v>Mage's Hood</v>
      </c>
      <c r="B723" s="2"/>
      <c r="C723" s="2" t="str">
        <f>IFERROR(__xludf.DUMMYFUNCTION("""COMPUTED_VALUE"""),"Item")</f>
        <v>Item</v>
      </c>
      <c r="D723" s="2" t="str">
        <f>IFERROR(__xludf.DUMMYFUNCTION("""COMPUTED_VALUE"""),"Head")</f>
        <v>Head</v>
      </c>
      <c r="E723" s="2">
        <f>IFERROR(__xludf.DUMMYFUNCTION("""COMPUTED_VALUE"""),1.0)</f>
        <v>1</v>
      </c>
      <c r="F723" s="2" t="str">
        <f>IFERROR(__xludf.DUMMYFUNCTION("""COMPUTED_VALUE""")," ++5000 additional HP and SP. ++Plus 2 Wisdom. +-Cannot be forged. +-Cannot be duplicateed.")</f>
        <v> ++5000 additional HP and SP. ++Plus 2 Wisdom. +-Cannot be forged. +-Cannot be duplicateed.</v>
      </c>
      <c r="G723" s="2">
        <f>IFERROR(__xludf.DUMMYFUNCTION("""COMPUTED_VALUE"""),0.0)</f>
        <v>0</v>
      </c>
      <c r="H723" s="2"/>
      <c r="I723" s="2"/>
      <c r="J723" s="2"/>
      <c r="K723" s="2"/>
      <c r="L723" s="2"/>
      <c r="M723" s="2"/>
      <c r="N723" s="2"/>
      <c r="O723" s="2"/>
      <c r="P723" s="2"/>
      <c r="Q723" s="2"/>
      <c r="R723" s="2"/>
      <c r="S723" s="2"/>
      <c r="T723" s="2"/>
      <c r="U723" s="2"/>
      <c r="V723" s="2"/>
      <c r="W723" s="2"/>
      <c r="X723" s="2"/>
      <c r="Y723" s="2"/>
      <c r="Z723" s="2"/>
    </row>
    <row r="724">
      <c r="A724" s="2" t="str">
        <f>IFERROR(__xludf.DUMMYFUNCTION("""COMPUTED_VALUE"""),"Mage's Cloak")</f>
        <v>Mage's Cloak</v>
      </c>
      <c r="B724" s="2"/>
      <c r="C724" s="2" t="str">
        <f>IFERROR(__xludf.DUMMYFUNCTION("""COMPUTED_VALUE"""),"Item")</f>
        <v>Item</v>
      </c>
      <c r="D724" s="2" t="str">
        <f>IFERROR(__xludf.DUMMYFUNCTION("""COMPUTED_VALUE"""),"Torso")</f>
        <v>Torso</v>
      </c>
      <c r="E724" s="2">
        <f>IFERROR(__xludf.DUMMYFUNCTION("""COMPUTED_VALUE"""),1.0)</f>
        <v>1</v>
      </c>
      <c r="F724" s="2" t="str">
        <f>IFERROR(__xludf.DUMMYFUNCTION("""COMPUTED_VALUE""")," ++5000 additional HP and SP. ++Plus 2 Wisdom. +-Cannot be forged. +-Cannot be duplicateed.")</f>
        <v> ++5000 additional HP and SP. ++Plus 2 Wisdom. +-Cannot be forged. +-Cannot be duplicateed.</v>
      </c>
      <c r="G724" s="2">
        <f>IFERROR(__xludf.DUMMYFUNCTION("""COMPUTED_VALUE"""),0.0)</f>
        <v>0</v>
      </c>
      <c r="H724" s="2"/>
      <c r="I724" s="2"/>
      <c r="J724" s="2"/>
      <c r="K724" s="2"/>
      <c r="L724" s="2"/>
      <c r="M724" s="2"/>
      <c r="N724" s="2"/>
      <c r="O724" s="2"/>
      <c r="P724" s="2"/>
      <c r="Q724" s="2"/>
      <c r="R724" s="2"/>
      <c r="S724" s="2"/>
      <c r="T724" s="2"/>
      <c r="U724" s="2"/>
      <c r="V724" s="2"/>
      <c r="W724" s="2"/>
      <c r="X724" s="2"/>
      <c r="Y724" s="2"/>
      <c r="Z724" s="2"/>
    </row>
    <row r="725">
      <c r="A725" s="2" t="str">
        <f>IFERROR(__xludf.DUMMYFUNCTION("""COMPUTED_VALUE"""),"Mage's Shoes")</f>
        <v>Mage's Shoes</v>
      </c>
      <c r="B725" s="2"/>
      <c r="C725" s="2" t="str">
        <f>IFERROR(__xludf.DUMMYFUNCTION("""COMPUTED_VALUE"""),"Item")</f>
        <v>Item</v>
      </c>
      <c r="D725" s="2" t="str">
        <f>IFERROR(__xludf.DUMMYFUNCTION("""COMPUTED_VALUE"""),"Feet")</f>
        <v>Feet</v>
      </c>
      <c r="E725" s="2">
        <f>IFERROR(__xludf.DUMMYFUNCTION("""COMPUTED_VALUE"""),1.0)</f>
        <v>1</v>
      </c>
      <c r="F725" s="2" t="str">
        <f>IFERROR(__xludf.DUMMYFUNCTION("""COMPUTED_VALUE""")," ++5000 additional HP and SP. ++Plus 1 Wisdom. +-Cannot be forged. +-Cannot be duplicateed.")</f>
        <v> ++5000 additional HP and SP. ++Plus 1 Wisdom. +-Cannot be forged. +-Cannot be duplicateed.</v>
      </c>
      <c r="G725" s="2">
        <f>IFERROR(__xludf.DUMMYFUNCTION("""COMPUTED_VALUE"""),0.0)</f>
        <v>0</v>
      </c>
      <c r="H725" s="2"/>
      <c r="I725" s="2"/>
      <c r="J725" s="2"/>
      <c r="K725" s="2"/>
      <c r="L725" s="2"/>
      <c r="M725" s="2"/>
      <c r="N725" s="2"/>
      <c r="O725" s="2"/>
      <c r="P725" s="2"/>
      <c r="Q725" s="2"/>
      <c r="R725" s="2"/>
      <c r="S725" s="2"/>
      <c r="T725" s="2"/>
      <c r="U725" s="2"/>
      <c r="V725" s="2"/>
      <c r="W725" s="2"/>
      <c r="X725" s="2"/>
      <c r="Y725" s="2"/>
      <c r="Z725" s="2"/>
    </row>
    <row r="726">
      <c r="A726" s="2" t="str">
        <f>IFERROR(__xludf.DUMMYFUNCTION("""COMPUTED_VALUE"""),"Sorcerer's Hood")</f>
        <v>Sorcerer's Hood</v>
      </c>
      <c r="B726" s="2"/>
      <c r="C726" s="2" t="str">
        <f>IFERROR(__xludf.DUMMYFUNCTION("""COMPUTED_VALUE"""),"Item")</f>
        <v>Item</v>
      </c>
      <c r="D726" s="2" t="str">
        <f>IFERROR(__xludf.DUMMYFUNCTION("""COMPUTED_VALUE"""),"Head")</f>
        <v>Head</v>
      </c>
      <c r="E726" s="2">
        <f>IFERROR(__xludf.DUMMYFUNCTION("""COMPUTED_VALUE"""),1.0)</f>
        <v>1</v>
      </c>
      <c r="F726" s="2" t="str">
        <f>IFERROR(__xludf.DUMMYFUNCTION("""COMPUTED_VALUE""")," ++2500 additional HP and SP. ++Plus 2 Wisdom. +-Cannot be forged. +-Cannot be duplicateed.")</f>
        <v> ++2500 additional HP and SP. ++Plus 2 Wisdom. +-Cannot be forged. +-Cannot be duplicateed.</v>
      </c>
      <c r="G726" s="2">
        <f>IFERROR(__xludf.DUMMYFUNCTION("""COMPUTED_VALUE"""),0.0)</f>
        <v>0</v>
      </c>
      <c r="H726" s="2"/>
      <c r="I726" s="2"/>
      <c r="J726" s="2"/>
      <c r="K726" s="2"/>
      <c r="L726" s="2"/>
      <c r="M726" s="2"/>
      <c r="N726" s="2"/>
      <c r="O726" s="2"/>
      <c r="P726" s="2"/>
      <c r="Q726" s="2"/>
      <c r="R726" s="2"/>
      <c r="S726" s="2"/>
      <c r="T726" s="2"/>
      <c r="U726" s="2"/>
      <c r="V726" s="2"/>
      <c r="W726" s="2"/>
      <c r="X726" s="2"/>
      <c r="Y726" s="2"/>
      <c r="Z726" s="2"/>
    </row>
    <row r="727">
      <c r="A727" s="2" t="str">
        <f>IFERROR(__xludf.DUMMYFUNCTION("""COMPUTED_VALUE"""),"Sorcerer's Cloak")</f>
        <v>Sorcerer's Cloak</v>
      </c>
      <c r="B727" s="2"/>
      <c r="C727" s="2" t="str">
        <f>IFERROR(__xludf.DUMMYFUNCTION("""COMPUTED_VALUE"""),"Item")</f>
        <v>Item</v>
      </c>
      <c r="D727" s="2" t="str">
        <f>IFERROR(__xludf.DUMMYFUNCTION("""COMPUTED_VALUE"""),"Torso")</f>
        <v>Torso</v>
      </c>
      <c r="E727" s="2">
        <f>IFERROR(__xludf.DUMMYFUNCTION("""COMPUTED_VALUE"""),1.0)</f>
        <v>1</v>
      </c>
      <c r="F727" s="2" t="str">
        <f>IFERROR(__xludf.DUMMYFUNCTION("""COMPUTED_VALUE""")," ++2500 additional HP and SP. ++Plus 2 Wisdom. +-Cannot be forged. +-Cannot be duplicateed.")</f>
        <v> ++2500 additional HP and SP. ++Plus 2 Wisdom. +-Cannot be forged. +-Cannot be duplicateed.</v>
      </c>
      <c r="G727" s="2">
        <f>IFERROR(__xludf.DUMMYFUNCTION("""COMPUTED_VALUE"""),0.0)</f>
        <v>0</v>
      </c>
      <c r="H727" s="2"/>
      <c r="I727" s="2"/>
      <c r="J727" s="2"/>
      <c r="K727" s="2"/>
      <c r="L727" s="2"/>
      <c r="M727" s="2"/>
      <c r="N727" s="2"/>
      <c r="O727" s="2"/>
      <c r="P727" s="2"/>
      <c r="Q727" s="2"/>
      <c r="R727" s="2"/>
      <c r="S727" s="2"/>
      <c r="T727" s="2"/>
      <c r="U727" s="2"/>
      <c r="V727" s="2"/>
      <c r="W727" s="2"/>
      <c r="X727" s="2"/>
      <c r="Y727" s="2"/>
      <c r="Z727" s="2"/>
    </row>
    <row r="728">
      <c r="A728" s="2" t="str">
        <f>IFERROR(__xludf.DUMMYFUNCTION("""COMPUTED_VALUE"""),"Sorcerer's Shoes")</f>
        <v>Sorcerer's Shoes</v>
      </c>
      <c r="B728" s="2"/>
      <c r="C728" s="2" t="str">
        <f>IFERROR(__xludf.DUMMYFUNCTION("""COMPUTED_VALUE"""),"Item")</f>
        <v>Item</v>
      </c>
      <c r="D728" s="2" t="str">
        <f>IFERROR(__xludf.DUMMYFUNCTION("""COMPUTED_VALUE"""),"Feet")</f>
        <v>Feet</v>
      </c>
      <c r="E728" s="2">
        <f>IFERROR(__xludf.DUMMYFUNCTION("""COMPUTED_VALUE"""),1.0)</f>
        <v>1</v>
      </c>
      <c r="F728" s="2" t="str">
        <f>IFERROR(__xludf.DUMMYFUNCTION("""COMPUTED_VALUE""")," ++2500 additional HP and SP. ++Plus 1 Wisdom. +-Cannot be forged. +-Cannot be duplicateed.")</f>
        <v> ++2500 additional HP and SP. ++Plus 1 Wisdom. +-Cannot be forged. +-Cannot be duplicateed.</v>
      </c>
      <c r="G728" s="2">
        <f>IFERROR(__xludf.DUMMYFUNCTION("""COMPUTED_VALUE"""),0.0)</f>
        <v>0</v>
      </c>
      <c r="H728" s="2"/>
      <c r="I728" s="2"/>
      <c r="J728" s="2"/>
      <c r="K728" s="2"/>
      <c r="L728" s="2"/>
      <c r="M728" s="2"/>
      <c r="N728" s="2"/>
      <c r="O728" s="2"/>
      <c r="P728" s="2"/>
      <c r="Q728" s="2"/>
      <c r="R728" s="2"/>
      <c r="S728" s="2"/>
      <c r="T728" s="2"/>
      <c r="U728" s="2"/>
      <c r="V728" s="2"/>
      <c r="W728" s="2"/>
      <c r="X728" s="2"/>
      <c r="Y728" s="2"/>
      <c r="Z728" s="2"/>
    </row>
    <row r="729">
      <c r="A729" s="2" t="str">
        <f>IFERROR(__xludf.DUMMYFUNCTION("""COMPUTED_VALUE"""),"Wizard's Hood")</f>
        <v>Wizard's Hood</v>
      </c>
      <c r="B729" s="2"/>
      <c r="C729" s="2" t="str">
        <f>IFERROR(__xludf.DUMMYFUNCTION("""COMPUTED_VALUE"""),"Item")</f>
        <v>Item</v>
      </c>
      <c r="D729" s="2" t="str">
        <f>IFERROR(__xludf.DUMMYFUNCTION("""COMPUTED_VALUE"""),"Head")</f>
        <v>Head</v>
      </c>
      <c r="E729" s="2">
        <f>IFERROR(__xludf.DUMMYFUNCTION("""COMPUTED_VALUE"""),1.0)</f>
        <v>1</v>
      </c>
      <c r="F729" s="2" t="str">
        <f>IFERROR(__xludf.DUMMYFUNCTION("""COMPUTED_VALUE""")," ++1000 additional HP and SP. ++X2 Spell Damage. +-Cannot be forged. +-Cannot be duplicateed.")</f>
        <v> ++1000 additional HP and SP. ++X2 Spell Damage. +-Cannot be forged. +-Cannot be duplicateed.</v>
      </c>
      <c r="G729" s="2">
        <f>IFERROR(__xludf.DUMMYFUNCTION("""COMPUTED_VALUE"""),0.0)</f>
        <v>0</v>
      </c>
      <c r="H729" s="2"/>
      <c r="I729" s="2"/>
      <c r="J729" s="2"/>
      <c r="K729" s="2"/>
      <c r="L729" s="2"/>
      <c r="M729" s="2"/>
      <c r="N729" s="2"/>
      <c r="O729" s="2"/>
      <c r="P729" s="2"/>
      <c r="Q729" s="2"/>
      <c r="R729" s="2"/>
      <c r="S729" s="2"/>
      <c r="T729" s="2"/>
      <c r="U729" s="2"/>
      <c r="V729" s="2"/>
      <c r="W729" s="2"/>
      <c r="X729" s="2"/>
      <c r="Y729" s="2"/>
      <c r="Z729" s="2"/>
    </row>
    <row r="730">
      <c r="A730" s="2" t="str">
        <f>IFERROR(__xludf.DUMMYFUNCTION("""COMPUTED_VALUE"""),"Wizard's Cloak")</f>
        <v>Wizard's Cloak</v>
      </c>
      <c r="B730" s="2"/>
      <c r="C730" s="2" t="str">
        <f>IFERROR(__xludf.DUMMYFUNCTION("""COMPUTED_VALUE"""),"Item")</f>
        <v>Item</v>
      </c>
      <c r="D730" s="2" t="str">
        <f>IFERROR(__xludf.DUMMYFUNCTION("""COMPUTED_VALUE"""),"Torso")</f>
        <v>Torso</v>
      </c>
      <c r="E730" s="2">
        <f>IFERROR(__xludf.DUMMYFUNCTION("""COMPUTED_VALUE"""),1.0)</f>
        <v>1</v>
      </c>
      <c r="F730" s="2" t="str">
        <f>IFERROR(__xludf.DUMMYFUNCTION("""COMPUTED_VALUE""")," ++1000 additional HP and SP. ++X2 Spell Damage. +-Cannot be forged. +-Cannot be duplicateed.")</f>
        <v> ++1000 additional HP and SP. ++X2 Spell Damage. +-Cannot be forged. +-Cannot be duplicateed.</v>
      </c>
      <c r="G730" s="2">
        <f>IFERROR(__xludf.DUMMYFUNCTION("""COMPUTED_VALUE"""),0.0)</f>
        <v>0</v>
      </c>
      <c r="H730" s="2"/>
      <c r="I730" s="2"/>
      <c r="J730" s="2"/>
      <c r="K730" s="2"/>
      <c r="L730" s="2"/>
      <c r="M730" s="2"/>
      <c r="N730" s="2"/>
      <c r="O730" s="2"/>
      <c r="P730" s="2"/>
      <c r="Q730" s="2"/>
      <c r="R730" s="2"/>
      <c r="S730" s="2"/>
      <c r="T730" s="2"/>
      <c r="U730" s="2"/>
      <c r="V730" s="2"/>
      <c r="W730" s="2"/>
      <c r="X730" s="2"/>
      <c r="Y730" s="2"/>
      <c r="Z730" s="2"/>
    </row>
    <row r="731">
      <c r="A731" s="2" t="str">
        <f>IFERROR(__xludf.DUMMYFUNCTION("""COMPUTED_VALUE"""),"Wizard's Shoes")</f>
        <v>Wizard's Shoes</v>
      </c>
      <c r="B731" s="2"/>
      <c r="C731" s="2" t="str">
        <f>IFERROR(__xludf.DUMMYFUNCTION("""COMPUTED_VALUE"""),"Item")</f>
        <v>Item</v>
      </c>
      <c r="D731" s="2" t="str">
        <f>IFERROR(__xludf.DUMMYFUNCTION("""COMPUTED_VALUE"""),"Feet")</f>
        <v>Feet</v>
      </c>
      <c r="E731" s="2">
        <f>IFERROR(__xludf.DUMMYFUNCTION("""COMPUTED_VALUE"""),1.0)</f>
        <v>1</v>
      </c>
      <c r="F731" s="2" t="str">
        <f>IFERROR(__xludf.DUMMYFUNCTION("""COMPUTED_VALUE""")," ++1000 additional HP and SP. ++X2 Spell Damage. +-Cannot be forged. +-Cannot be duplicateed.")</f>
        <v> ++1000 additional HP and SP. ++X2 Spell Damage. +-Cannot be forged. +-Cannot be duplicateed.</v>
      </c>
      <c r="G731" s="2">
        <f>IFERROR(__xludf.DUMMYFUNCTION("""COMPUTED_VALUE"""),0.0)</f>
        <v>0</v>
      </c>
      <c r="H731" s="2"/>
      <c r="I731" s="2"/>
      <c r="J731" s="2"/>
      <c r="K731" s="2"/>
      <c r="L731" s="2"/>
      <c r="M731" s="2"/>
      <c r="N731" s="2"/>
      <c r="O731" s="2"/>
      <c r="P731" s="2"/>
      <c r="Q731" s="2"/>
      <c r="R731" s="2"/>
      <c r="S731" s="2"/>
      <c r="T731" s="2"/>
      <c r="U731" s="2"/>
      <c r="V731" s="2"/>
      <c r="W731" s="2"/>
      <c r="X731" s="2"/>
      <c r="Y731" s="2"/>
      <c r="Z731" s="2"/>
    </row>
    <row r="732">
      <c r="A732" s="2" t="str">
        <f>IFERROR(__xludf.DUMMYFUNCTION("""COMPUTED_VALUE"""),"Gunslinger's Cap")</f>
        <v>Gunslinger's Cap</v>
      </c>
      <c r="B732" s="2"/>
      <c r="C732" s="2" t="str">
        <f>IFERROR(__xludf.DUMMYFUNCTION("""COMPUTED_VALUE"""),"Item")</f>
        <v>Item</v>
      </c>
      <c r="D732" s="2" t="str">
        <f>IFERROR(__xludf.DUMMYFUNCTION("""COMPUTED_VALUE"""),"Head")</f>
        <v>Head</v>
      </c>
      <c r="E732" s="2">
        <f>IFERROR(__xludf.DUMMYFUNCTION("""COMPUTED_VALUE"""),1.0)</f>
        <v>1</v>
      </c>
      <c r="F732" s="2" t="str">
        <f>IFERROR(__xludf.DUMMYFUNCTION("""COMPUTED_VALUE""")," ++10,000 ACC and ATK. ++2 Mobility +-Cannot be forged or duplicated")</f>
        <v> ++10,000 ACC and ATK. ++2 Mobility +-Cannot be forged or duplicated</v>
      </c>
      <c r="G732" s="2">
        <f>IFERROR(__xludf.DUMMYFUNCTION("""COMPUTED_VALUE"""),0.0)</f>
        <v>0</v>
      </c>
      <c r="H732" s="2"/>
      <c r="I732" s="2"/>
      <c r="J732" s="2"/>
      <c r="K732" s="2"/>
      <c r="L732" s="2"/>
      <c r="M732" s="2"/>
      <c r="N732" s="2"/>
      <c r="O732" s="2"/>
      <c r="P732" s="2"/>
      <c r="Q732" s="2"/>
      <c r="R732" s="2"/>
      <c r="S732" s="2"/>
      <c r="T732" s="2"/>
      <c r="U732" s="2"/>
      <c r="V732" s="2"/>
      <c r="W732" s="2"/>
      <c r="X732" s="2"/>
      <c r="Y732" s="2"/>
      <c r="Z732" s="2"/>
    </row>
    <row r="733">
      <c r="A733" s="2" t="str">
        <f>IFERROR(__xludf.DUMMYFUNCTION("""COMPUTED_VALUE"""),"Gunslinger's Shirt")</f>
        <v>Gunslinger's Shirt</v>
      </c>
      <c r="B733" s="2"/>
      <c r="C733" s="2" t="str">
        <f>IFERROR(__xludf.DUMMYFUNCTION("""COMPUTED_VALUE"""),"Item")</f>
        <v>Item</v>
      </c>
      <c r="D733" s="2" t="str">
        <f>IFERROR(__xludf.DUMMYFUNCTION("""COMPUTED_VALUE"""),"Torso")</f>
        <v>Torso</v>
      </c>
      <c r="E733" s="2">
        <f>IFERROR(__xludf.DUMMYFUNCTION("""COMPUTED_VALUE"""),1.0)</f>
        <v>1</v>
      </c>
      <c r="F733" s="2" t="str">
        <f>IFERROR(__xludf.DUMMYFUNCTION("""COMPUTED_VALUE""")," ++10,000 ACC and ATK. ++2 Mobility +-Cannot be forged or duplicated")</f>
        <v> ++10,000 ACC and ATK. ++2 Mobility +-Cannot be forged or duplicated</v>
      </c>
      <c r="G733" s="2">
        <f>IFERROR(__xludf.DUMMYFUNCTION("""COMPUTED_VALUE"""),0.0)</f>
        <v>0</v>
      </c>
      <c r="H733" s="2"/>
      <c r="I733" s="2"/>
      <c r="J733" s="2"/>
      <c r="K733" s="2"/>
      <c r="L733" s="2"/>
      <c r="M733" s="2"/>
      <c r="N733" s="2"/>
      <c r="O733" s="2"/>
      <c r="P733" s="2"/>
      <c r="Q733" s="2"/>
      <c r="R733" s="2"/>
      <c r="S733" s="2"/>
      <c r="T733" s="2"/>
      <c r="U733" s="2"/>
      <c r="V733" s="2"/>
      <c r="W733" s="2"/>
      <c r="X733" s="2"/>
      <c r="Y733" s="2"/>
      <c r="Z733" s="2"/>
    </row>
    <row r="734">
      <c r="A734" s="2" t="str">
        <f>IFERROR(__xludf.DUMMYFUNCTION("""COMPUTED_VALUE"""),"Gunslinger's Boots")</f>
        <v>Gunslinger's Boots</v>
      </c>
      <c r="B734" s="2"/>
      <c r="C734" s="2" t="str">
        <f>IFERROR(__xludf.DUMMYFUNCTION("""COMPUTED_VALUE"""),"Item")</f>
        <v>Item</v>
      </c>
      <c r="D734" s="2" t="str">
        <f>IFERROR(__xludf.DUMMYFUNCTION("""COMPUTED_VALUE"""),"Feet")</f>
        <v>Feet</v>
      </c>
      <c r="E734" s="2">
        <f>IFERROR(__xludf.DUMMYFUNCTION("""COMPUTED_VALUE"""),1.0)</f>
        <v>1</v>
      </c>
      <c r="F734" s="2" t="str">
        <f>IFERROR(__xludf.DUMMYFUNCTION("""COMPUTED_VALUE""")," ++10,000 ACC and ATK. ++1 Mobility +-Cannot be forged or duplicated")</f>
        <v> ++10,000 ACC and ATK. ++1 Mobility +-Cannot be forged or duplicated</v>
      </c>
      <c r="G734" s="2">
        <f>IFERROR(__xludf.DUMMYFUNCTION("""COMPUTED_VALUE"""),0.0)</f>
        <v>0</v>
      </c>
      <c r="H734" s="2"/>
      <c r="I734" s="2"/>
      <c r="J734" s="2"/>
      <c r="K734" s="2"/>
      <c r="L734" s="2"/>
      <c r="M734" s="2"/>
      <c r="N734" s="2"/>
      <c r="O734" s="2"/>
      <c r="P734" s="2"/>
      <c r="Q734" s="2"/>
      <c r="R734" s="2"/>
      <c r="S734" s="2"/>
      <c r="T734" s="2"/>
      <c r="U734" s="2"/>
      <c r="V734" s="2"/>
      <c r="W734" s="2"/>
      <c r="X734" s="2"/>
      <c r="Y734" s="2"/>
      <c r="Z734" s="2"/>
    </row>
    <row r="735">
      <c r="A735" s="2" t="str">
        <f>IFERROR(__xludf.DUMMYFUNCTION("""COMPUTED_VALUE"""),"Bard's Coif")</f>
        <v>Bard's Coif</v>
      </c>
      <c r="B735" s="2"/>
      <c r="C735" s="2" t="str">
        <f>IFERROR(__xludf.DUMMYFUNCTION("""COMPUTED_VALUE"""),"Item")</f>
        <v>Item</v>
      </c>
      <c r="D735" s="2" t="str">
        <f>IFERROR(__xludf.DUMMYFUNCTION("""COMPUTED_VALUE"""),"Head")</f>
        <v>Head</v>
      </c>
      <c r="E735" s="2">
        <f>IFERROR(__xludf.DUMMYFUNCTION("""COMPUTED_VALUE"""),1.0)</f>
        <v>1</v>
      </c>
      <c r="F735" s="2" t="str">
        <f>IFERROR(__xludf.DUMMYFUNCTION("""COMPUTED_VALUE""")," ++10,000 ACC and ATK. ++2 Charisma +-Cannot be forged or duplicated")</f>
        <v> ++10,000 ACC and ATK. ++2 Charisma +-Cannot be forged or duplicated</v>
      </c>
      <c r="G735" s="2">
        <f>IFERROR(__xludf.DUMMYFUNCTION("""COMPUTED_VALUE"""),0.0)</f>
        <v>0</v>
      </c>
      <c r="H735" s="2"/>
      <c r="I735" s="2"/>
      <c r="J735" s="2"/>
      <c r="K735" s="2"/>
      <c r="L735" s="2"/>
      <c r="M735" s="2"/>
      <c r="N735" s="2"/>
      <c r="O735" s="2"/>
      <c r="P735" s="2"/>
      <c r="Q735" s="2"/>
      <c r="R735" s="2"/>
      <c r="S735" s="2"/>
      <c r="T735" s="2"/>
      <c r="U735" s="2"/>
      <c r="V735" s="2"/>
      <c r="W735" s="2"/>
      <c r="X735" s="2"/>
      <c r="Y735" s="2"/>
      <c r="Z735" s="2"/>
    </row>
    <row r="736">
      <c r="A736" s="2" t="str">
        <f>IFERROR(__xludf.DUMMYFUNCTION("""COMPUTED_VALUE"""),"Bard's Gambeson")</f>
        <v>Bard's Gambeson</v>
      </c>
      <c r="B736" s="2"/>
      <c r="C736" s="2" t="str">
        <f>IFERROR(__xludf.DUMMYFUNCTION("""COMPUTED_VALUE"""),"Item")</f>
        <v>Item</v>
      </c>
      <c r="D736" s="2" t="str">
        <f>IFERROR(__xludf.DUMMYFUNCTION("""COMPUTED_VALUE"""),"Torso")</f>
        <v>Torso</v>
      </c>
      <c r="E736" s="2">
        <f>IFERROR(__xludf.DUMMYFUNCTION("""COMPUTED_VALUE"""),1.0)</f>
        <v>1</v>
      </c>
      <c r="F736" s="2" t="str">
        <f>IFERROR(__xludf.DUMMYFUNCTION("""COMPUTED_VALUE""")," ++10,000 ACC and ATK. ++2 Charisma +-Cannot be forged or duplicated")</f>
        <v> ++10,000 ACC and ATK. ++2 Charisma +-Cannot be forged or duplicated</v>
      </c>
      <c r="G736" s="2">
        <f>IFERROR(__xludf.DUMMYFUNCTION("""COMPUTED_VALUE"""),0.0)</f>
        <v>0</v>
      </c>
      <c r="H736" s="2"/>
      <c r="I736" s="2"/>
      <c r="J736" s="2"/>
      <c r="K736" s="2"/>
      <c r="L736" s="2"/>
      <c r="M736" s="2"/>
      <c r="N736" s="2"/>
      <c r="O736" s="2"/>
      <c r="P736" s="2"/>
      <c r="Q736" s="2"/>
      <c r="R736" s="2"/>
      <c r="S736" s="2"/>
      <c r="T736" s="2"/>
      <c r="U736" s="2"/>
      <c r="V736" s="2"/>
      <c r="W736" s="2"/>
      <c r="X736" s="2"/>
      <c r="Y736" s="2"/>
      <c r="Z736" s="2"/>
    </row>
    <row r="737">
      <c r="A737" s="2" t="str">
        <f>IFERROR(__xludf.DUMMYFUNCTION("""COMPUTED_VALUE"""),"Bard's Shoes")</f>
        <v>Bard's Shoes</v>
      </c>
      <c r="B737" s="2"/>
      <c r="C737" s="2" t="str">
        <f>IFERROR(__xludf.DUMMYFUNCTION("""COMPUTED_VALUE"""),"Item")</f>
        <v>Item</v>
      </c>
      <c r="D737" s="2" t="str">
        <f>IFERROR(__xludf.DUMMYFUNCTION("""COMPUTED_VALUE"""),"Feet")</f>
        <v>Feet</v>
      </c>
      <c r="E737" s="2">
        <f>IFERROR(__xludf.DUMMYFUNCTION("""COMPUTED_VALUE"""),1.0)</f>
        <v>1</v>
      </c>
      <c r="F737" s="2" t="str">
        <f>IFERROR(__xludf.DUMMYFUNCTION("""COMPUTED_VALUE""")," ++10,000 ACC and ATK. ++1 Charisma +-Cannot be forged or duplicated")</f>
        <v> ++10,000 ACC and ATK. ++1 Charisma +-Cannot be forged or duplicated</v>
      </c>
      <c r="G737" s="2">
        <f>IFERROR(__xludf.DUMMYFUNCTION("""COMPUTED_VALUE"""),0.0)</f>
        <v>0</v>
      </c>
      <c r="H737" s="2"/>
      <c r="I737" s="2"/>
      <c r="J737" s="2"/>
      <c r="K737" s="2"/>
      <c r="L737" s="2"/>
      <c r="M737" s="2"/>
      <c r="N737" s="2"/>
      <c r="O737" s="2"/>
      <c r="P737" s="2"/>
      <c r="Q737" s="2"/>
      <c r="R737" s="2"/>
      <c r="S737" s="2"/>
      <c r="T737" s="2"/>
      <c r="U737" s="2"/>
      <c r="V737" s="2"/>
      <c r="W737" s="2"/>
      <c r="X737" s="2"/>
      <c r="Y737" s="2"/>
      <c r="Z737" s="2"/>
    </row>
    <row r="738">
      <c r="A738" s="2" t="str">
        <f>IFERROR(__xludf.DUMMYFUNCTION("""COMPUTED_VALUE"""),"Dragonscale Skirt")</f>
        <v>Dragonscale Skirt</v>
      </c>
      <c r="B738" s="2"/>
      <c r="C738" s="2" t="str">
        <f>IFERROR(__xludf.DUMMYFUNCTION("""COMPUTED_VALUE"""),"Item")</f>
        <v>Item</v>
      </c>
      <c r="D738" s="2" t="str">
        <f>IFERROR(__xludf.DUMMYFUNCTION("""COMPUTED_VALUE"""),"Legs")</f>
        <v>Legs</v>
      </c>
      <c r="E738" s="2">
        <f>IFERROR(__xludf.DUMMYFUNCTION("""COMPUTED_VALUE"""),1.0)</f>
        <v>1</v>
      </c>
      <c r="F738" s="2" t="str">
        <f>IFERROR(__xludf.DUMMYFUNCTION("""COMPUTED_VALUE""")," ++7,000 additional HP and SP, ++2 Mobility +-Cannot be forged or duplicated")</f>
        <v> ++7,000 additional HP and SP, ++2 Mobility +-Cannot be forged or duplicated</v>
      </c>
      <c r="G738" s="2">
        <f>IFERROR(__xludf.DUMMYFUNCTION("""COMPUTED_VALUE"""),0.0)</f>
        <v>0</v>
      </c>
      <c r="H738" s="2"/>
      <c r="I738" s="2"/>
      <c r="J738" s="2"/>
      <c r="K738" s="2"/>
      <c r="L738" s="2"/>
      <c r="M738" s="2"/>
      <c r="N738" s="2"/>
      <c r="O738" s="2"/>
      <c r="P738" s="2"/>
      <c r="Q738" s="2"/>
      <c r="R738" s="2"/>
      <c r="S738" s="2"/>
      <c r="T738" s="2"/>
      <c r="U738" s="2"/>
      <c r="V738" s="2"/>
      <c r="W738" s="2"/>
      <c r="X738" s="2"/>
      <c r="Y738" s="2"/>
      <c r="Z738" s="2"/>
    </row>
    <row r="739">
      <c r="A739" s="2" t="str">
        <f>IFERROR(__xludf.DUMMYFUNCTION("""COMPUTED_VALUE"""),"Dragonscale Cape")</f>
        <v>Dragonscale Cape</v>
      </c>
      <c r="B739" s="2"/>
      <c r="C739" s="2" t="str">
        <f>IFERROR(__xludf.DUMMYFUNCTION("""COMPUTED_VALUE"""),"Item")</f>
        <v>Item</v>
      </c>
      <c r="D739" s="2" t="str">
        <f>IFERROR(__xludf.DUMMYFUNCTION("""COMPUTED_VALUE"""),"Shoulders")</f>
        <v>Shoulders</v>
      </c>
      <c r="E739" s="2">
        <f>IFERROR(__xludf.DUMMYFUNCTION("""COMPUTED_VALUE"""),1.0)</f>
        <v>1</v>
      </c>
      <c r="F739" s="2" t="str">
        <f>IFERROR(__xludf.DUMMYFUNCTION("""COMPUTED_VALUE""")," ++8,300 additional HP and SP, +-Cannot be forged or duplicated")</f>
        <v> ++8,300 additional HP and SP, +-Cannot be forged or duplicated</v>
      </c>
      <c r="G739" s="2">
        <f>IFERROR(__xludf.DUMMYFUNCTION("""COMPUTED_VALUE"""),0.0)</f>
        <v>0</v>
      </c>
      <c r="H739" s="2"/>
      <c r="I739" s="2"/>
      <c r="J739" s="2"/>
      <c r="K739" s="2"/>
      <c r="L739" s="2"/>
      <c r="M739" s="2"/>
      <c r="N739" s="2"/>
      <c r="O739" s="2"/>
      <c r="P739" s="2"/>
      <c r="Q739" s="2"/>
      <c r="R739" s="2"/>
      <c r="S739" s="2"/>
      <c r="T739" s="2"/>
      <c r="U739" s="2"/>
      <c r="V739" s="2"/>
      <c r="W739" s="2"/>
      <c r="X739" s="2"/>
      <c r="Y739" s="2"/>
      <c r="Z739" s="2"/>
    </row>
    <row r="740">
      <c r="A740" s="2" t="str">
        <f>IFERROR(__xludf.DUMMYFUNCTION("""COMPUTED_VALUE"""),"Broken Dragonscale Mail")</f>
        <v>Broken Dragonscale Mail</v>
      </c>
      <c r="B740" s="2"/>
      <c r="C740" s="2" t="str">
        <f>IFERROR(__xludf.DUMMYFUNCTION("""COMPUTED_VALUE"""),"Item")</f>
        <v>Item</v>
      </c>
      <c r="D740" s="2" t="str">
        <f>IFERROR(__xludf.DUMMYFUNCTION("""COMPUTED_VALUE"""),"Torso")</f>
        <v>Torso</v>
      </c>
      <c r="E740" s="2">
        <f>IFERROR(__xludf.DUMMYFUNCTION("""COMPUTED_VALUE"""),980.0)</f>
        <v>980</v>
      </c>
      <c r="F740" s="2" t="str">
        <f>IFERROR(__xludf.DUMMYFUNCTION("""COMPUTED_VALUE"""),"DEF: +48900 +-5% chance of breaking when wearer is attacked")</f>
        <v>DEF: +48900 +-5% chance of breaking when wearer is attacked</v>
      </c>
      <c r="G740" s="2">
        <f>IFERROR(__xludf.DUMMYFUNCTION("""COMPUTED_VALUE"""),4.656E7)</f>
        <v>46560000</v>
      </c>
      <c r="H740" s="2"/>
      <c r="I740" s="2"/>
      <c r="J740" s="2"/>
      <c r="K740" s="2"/>
      <c r="L740" s="2"/>
      <c r="M740" s="2"/>
      <c r="N740" s="2"/>
      <c r="O740" s="2"/>
      <c r="P740" s="2"/>
      <c r="Q740" s="2"/>
      <c r="R740" s="2"/>
      <c r="S740" s="2"/>
      <c r="T740" s="2"/>
      <c r="U740" s="2"/>
      <c r="V740" s="2"/>
      <c r="W740" s="2"/>
      <c r="X740" s="2"/>
      <c r="Y740" s="2"/>
      <c r="Z740" s="2"/>
    </row>
    <row r="741">
      <c r="A741" s="2" t="str">
        <f>IFERROR(__xludf.DUMMYFUNCTION("""COMPUTED_VALUE"""),"Dragonscale Mail")</f>
        <v>Dragonscale Mail</v>
      </c>
      <c r="B741" s="2"/>
      <c r="C741" s="2" t="str">
        <f>IFERROR(__xludf.DUMMYFUNCTION("""COMPUTED_VALUE"""),"Item")</f>
        <v>Item</v>
      </c>
      <c r="D741" s="2" t="str">
        <f>IFERROR(__xludf.DUMMYFUNCTION("""COMPUTED_VALUE"""),"Torso")</f>
        <v>Torso</v>
      </c>
      <c r="E741" s="2">
        <f>IFERROR(__xludf.DUMMYFUNCTION("""COMPUTED_VALUE"""),3000.0)</f>
        <v>3000</v>
      </c>
      <c r="F741" s="2" t="str">
        <f>IFERROR(__xludf.DUMMYFUNCTION("""COMPUTED_VALUE"""),"DEF: +150000")</f>
        <v>DEF: +150000</v>
      </c>
      <c r="G741" s="2">
        <f>IFERROR(__xludf.DUMMYFUNCTION("""COMPUTED_VALUE"""),4.485E8)</f>
        <v>448500000</v>
      </c>
      <c r="H741" s="2"/>
      <c r="I741" s="2"/>
      <c r="J741" s="2"/>
      <c r="K741" s="2"/>
      <c r="L741" s="2"/>
      <c r="M741" s="2"/>
      <c r="N741" s="2"/>
      <c r="O741" s="2"/>
      <c r="P741" s="2"/>
      <c r="Q741" s="2"/>
      <c r="R741" s="2"/>
      <c r="S741" s="2"/>
      <c r="T741" s="2"/>
      <c r="U741" s="2"/>
      <c r="V741" s="2"/>
      <c r="W741" s="2"/>
      <c r="X741" s="2"/>
      <c r="Y741" s="2"/>
      <c r="Z741" s="2"/>
    </row>
    <row r="742">
      <c r="A742" s="2" t="str">
        <f>IFERROR(__xludf.DUMMYFUNCTION("""COMPUTED_VALUE"""),"Dragonscale Charm")</f>
        <v>Dragonscale Charm</v>
      </c>
      <c r="B742" s="2"/>
      <c r="C742" s="2" t="str">
        <f>IFERROR(__xludf.DUMMYFUNCTION("""COMPUTED_VALUE"""),"Item")</f>
        <v>Item</v>
      </c>
      <c r="D742" s="2" t="str">
        <f>IFERROR(__xludf.DUMMYFUNCTION("""COMPUTED_VALUE"""),"Neck")</f>
        <v>Neck</v>
      </c>
      <c r="E742" s="2">
        <f>IFERROR(__xludf.DUMMYFUNCTION("""COMPUTED_VALUE"""),1.0)</f>
        <v>1</v>
      </c>
      <c r="F742" s="2" t="str">
        <f>IFERROR(__xludf.DUMMYFUNCTION("""COMPUTED_VALUE""")," ++1000 additional HP and SP for every piece of Dragonscale equipment equipped +-Cannot be forged or duplicated")</f>
        <v> ++1000 additional HP and SP for every piece of Dragonscale equipment equipped +-Cannot be forged or duplicated</v>
      </c>
      <c r="G742" s="2">
        <f>IFERROR(__xludf.DUMMYFUNCTION("""COMPUTED_VALUE"""),0.0)</f>
        <v>0</v>
      </c>
      <c r="H742" s="2"/>
      <c r="I742" s="2"/>
      <c r="J742" s="2"/>
      <c r="K742" s="2"/>
      <c r="L742" s="2"/>
      <c r="M742" s="2"/>
      <c r="N742" s="2"/>
      <c r="O742" s="2"/>
      <c r="P742" s="2"/>
      <c r="Q742" s="2"/>
      <c r="R742" s="2"/>
      <c r="S742" s="2"/>
      <c r="T742" s="2"/>
      <c r="U742" s="2"/>
      <c r="V742" s="2"/>
      <c r="W742" s="2"/>
      <c r="X742" s="2"/>
      <c r="Y742" s="2"/>
      <c r="Z742" s="2"/>
    </row>
    <row r="743">
      <c r="A743" s="2" t="str">
        <f>IFERROR(__xludf.DUMMYFUNCTION("""COMPUTED_VALUE"""),"Dragonscale Sandals")</f>
        <v>Dragonscale Sandals</v>
      </c>
      <c r="B743" s="2"/>
      <c r="C743" s="2" t="str">
        <f>IFERROR(__xludf.DUMMYFUNCTION("""COMPUTED_VALUE"""),"Item")</f>
        <v>Item</v>
      </c>
      <c r="D743" s="2" t="str">
        <f>IFERROR(__xludf.DUMMYFUNCTION("""COMPUTED_VALUE"""),"Feet")</f>
        <v>Feet</v>
      </c>
      <c r="E743" s="2">
        <f>IFERROR(__xludf.DUMMYFUNCTION("""COMPUTED_VALUE"""),1.0)</f>
        <v>1</v>
      </c>
      <c r="F743" s="2" t="str">
        <f>IFERROR(__xludf.DUMMYFUNCTION("""COMPUTED_VALUE""")," ++2 Mobility +-Cannot be forged or duplicated")</f>
        <v> ++2 Mobility +-Cannot be forged or duplicated</v>
      </c>
      <c r="G743" s="2">
        <f>IFERROR(__xludf.DUMMYFUNCTION("""COMPUTED_VALUE"""),0.0)</f>
        <v>0</v>
      </c>
      <c r="H743" s="2"/>
      <c r="I743" s="2"/>
      <c r="J743" s="2"/>
      <c r="K743" s="2"/>
      <c r="L743" s="2"/>
      <c r="M743" s="2"/>
      <c r="N743" s="2"/>
      <c r="O743" s="2"/>
      <c r="P743" s="2"/>
      <c r="Q743" s="2"/>
      <c r="R743" s="2"/>
      <c r="S743" s="2"/>
      <c r="T743" s="2"/>
      <c r="U743" s="2"/>
      <c r="V743" s="2"/>
      <c r="W743" s="2"/>
      <c r="X743" s="2"/>
      <c r="Y743" s="2"/>
      <c r="Z743" s="2"/>
    </row>
    <row r="744">
      <c r="A744" s="2" t="str">
        <f>IFERROR(__xludf.DUMMYFUNCTION("""COMPUTED_VALUE"""),"Dragonscale Talisman")</f>
        <v>Dragonscale Talisman</v>
      </c>
      <c r="B744" s="2"/>
      <c r="C744" s="2" t="str">
        <f>IFERROR(__xludf.DUMMYFUNCTION("""COMPUTED_VALUE"""),"Item")</f>
        <v>Item</v>
      </c>
      <c r="D744" s="2" t="str">
        <f>IFERROR(__xludf.DUMMYFUNCTION("""COMPUTED_VALUE"""),"Neck")</f>
        <v>Neck</v>
      </c>
      <c r="E744" s="2">
        <f>IFERROR(__xludf.DUMMYFUNCTION("""COMPUTED_VALUE"""),1.0)</f>
        <v>1</v>
      </c>
      <c r="F744" s="2" t="str">
        <f>IFERROR(__xludf.DUMMYFUNCTION("""COMPUTED_VALUE""")," ++10000 additional HP and SP, +-Cannot be forged or duplicated")</f>
        <v> ++10000 additional HP and SP, +-Cannot be forged or duplicated</v>
      </c>
      <c r="G744" s="2">
        <f>IFERROR(__xludf.DUMMYFUNCTION("""COMPUTED_VALUE"""),0.0)</f>
        <v>0</v>
      </c>
      <c r="H744" s="2"/>
      <c r="I744" s="2"/>
      <c r="J744" s="2"/>
      <c r="K744" s="2"/>
      <c r="L744" s="2"/>
      <c r="M744" s="2"/>
      <c r="N744" s="2"/>
      <c r="O744" s="2"/>
      <c r="P744" s="2"/>
      <c r="Q744" s="2"/>
      <c r="R744" s="2"/>
      <c r="S744" s="2"/>
      <c r="T744" s="2"/>
      <c r="U744" s="2"/>
      <c r="V744" s="2"/>
      <c r="W744" s="2"/>
      <c r="X744" s="2"/>
      <c r="Y744" s="2"/>
      <c r="Z744" s="2"/>
    </row>
    <row r="745">
      <c r="A745" s="2" t="str">
        <f>IFERROR(__xludf.DUMMYFUNCTION("""COMPUTED_VALUE"""),"Dragonscale Water Ring")</f>
        <v>Dragonscale Water Ring</v>
      </c>
      <c r="B745" s="2"/>
      <c r="C745" s="2" t="str">
        <f>IFERROR(__xludf.DUMMYFUNCTION("""COMPUTED_VALUE"""),"Item")</f>
        <v>Item</v>
      </c>
      <c r="D745" s="2" t="str">
        <f>IFERROR(__xludf.DUMMYFUNCTION("""COMPUTED_VALUE"""),"Finger")</f>
        <v>Finger</v>
      </c>
      <c r="E745" s="2">
        <f>IFERROR(__xludf.DUMMYFUNCTION("""COMPUTED_VALUE"""),1.0)</f>
        <v>1</v>
      </c>
      <c r="F745" s="2" t="str">
        <f>IFERROR(__xludf.DUMMYFUNCTION("""COMPUTED_VALUE""")," ++Converts all Natural damage to Water damage +-Cannot be duplicated")</f>
        <v> ++Converts all Natural damage to Water damage +-Cannot be duplicated</v>
      </c>
      <c r="G745" s="2">
        <f>IFERROR(__xludf.DUMMYFUNCTION("""COMPUTED_VALUE"""),0.0)</f>
        <v>0</v>
      </c>
      <c r="H745" s="2"/>
      <c r="I745" s="2"/>
      <c r="J745" s="2"/>
      <c r="K745" s="2"/>
      <c r="L745" s="2"/>
      <c r="M745" s="2"/>
      <c r="N745" s="2"/>
      <c r="O745" s="2"/>
      <c r="P745" s="2"/>
      <c r="Q745" s="2"/>
      <c r="R745" s="2"/>
      <c r="S745" s="2"/>
      <c r="T745" s="2"/>
      <c r="U745" s="2"/>
      <c r="V745" s="2"/>
      <c r="W745" s="2"/>
      <c r="X745" s="2"/>
      <c r="Y745" s="2"/>
      <c r="Z745" s="2"/>
    </row>
    <row r="746">
      <c r="A746" s="2" t="str">
        <f>IFERROR(__xludf.DUMMYFUNCTION("""COMPUTED_VALUE"""),"Dragonscale Gauntlets")</f>
        <v>Dragonscale Gauntlets</v>
      </c>
      <c r="B746" s="2"/>
      <c r="C746" s="2" t="str">
        <f>IFERROR(__xludf.DUMMYFUNCTION("""COMPUTED_VALUE"""),"Gauntlet")</f>
        <v>Gauntlet</v>
      </c>
      <c r="D746" s="2" t="str">
        <f>IFERROR(__xludf.DUMMYFUNCTION("""COMPUTED_VALUE"""),"Hand")</f>
        <v>Hand</v>
      </c>
      <c r="E746" s="2">
        <f>IFERROR(__xludf.DUMMYFUNCTION("""COMPUTED_VALUE"""),2000.0)</f>
        <v>2000</v>
      </c>
      <c r="F746" s="2" t="str">
        <f>IFERROR(__xludf.DUMMYFUNCTION("""COMPUTED_VALUE"""),"DEF: +100000")</f>
        <v>DEF: +100000</v>
      </c>
      <c r="G746" s="2">
        <f>IFERROR(__xludf.DUMMYFUNCTION("""COMPUTED_VALUE"""),1.99E8)</f>
        <v>199000000</v>
      </c>
      <c r="H746" s="2"/>
      <c r="I746" s="2"/>
      <c r="J746" s="2"/>
      <c r="K746" s="2"/>
      <c r="L746" s="2"/>
      <c r="M746" s="2"/>
      <c r="N746" s="2"/>
      <c r="O746" s="2"/>
      <c r="P746" s="2"/>
      <c r="Q746" s="2"/>
      <c r="R746" s="2"/>
      <c r="S746" s="2"/>
      <c r="T746" s="2"/>
      <c r="U746" s="2"/>
      <c r="V746" s="2"/>
      <c r="W746" s="2"/>
      <c r="X746" s="2"/>
      <c r="Y746" s="2"/>
      <c r="Z746" s="2"/>
    </row>
    <row r="747">
      <c r="A747" s="2" t="str">
        <f>IFERROR(__xludf.DUMMYFUNCTION("""COMPUTED_VALUE"""),"Fire Dragonscale Bow")</f>
        <v>Fire Dragonscale Bow</v>
      </c>
      <c r="B747" s="2"/>
      <c r="C747" s="2" t="str">
        <f>IFERROR(__xludf.DUMMYFUNCTION("""COMPUTED_VALUE"""),"Bow")</f>
        <v>Bow</v>
      </c>
      <c r="D747" s="2" t="str">
        <f>IFERROR(__xludf.DUMMYFUNCTION("""COMPUTED_VALUE"""),"Hand")</f>
        <v>Hand</v>
      </c>
      <c r="E747" s="2">
        <f>IFERROR(__xludf.DUMMYFUNCTION("""COMPUTED_VALUE"""),3000.0)</f>
        <v>3000</v>
      </c>
      <c r="F747" s="2" t="str">
        <f>IFERROR(__xludf.DUMMYFUNCTION("""COMPUTED_VALUE"""),"DMG: +20000, Fire DMG: +130000")</f>
        <v>DMG: +20000, Fire DMG: +130000</v>
      </c>
      <c r="G747" s="2">
        <f>IFERROR(__xludf.DUMMYFUNCTION("""COMPUTED_VALUE"""),4.485E8)</f>
        <v>448500000</v>
      </c>
      <c r="H747" s="2"/>
      <c r="I747" s="2"/>
      <c r="J747" s="2"/>
      <c r="K747" s="2"/>
      <c r="L747" s="2"/>
      <c r="M747" s="2"/>
      <c r="N747" s="2"/>
      <c r="O747" s="2"/>
      <c r="P747" s="2"/>
      <c r="Q747" s="2"/>
      <c r="R747" s="2"/>
      <c r="S747" s="2"/>
      <c r="T747" s="2"/>
      <c r="U747" s="2"/>
      <c r="V747" s="2"/>
      <c r="W747" s="2"/>
      <c r="X747" s="2"/>
      <c r="Y747" s="2"/>
      <c r="Z747" s="2"/>
    </row>
    <row r="748">
      <c r="A748" s="2" t="str">
        <f>IFERROR(__xludf.DUMMYFUNCTION("""COMPUTED_VALUE"""),"Storm Dragonscale Flail")</f>
        <v>Storm Dragonscale Flail</v>
      </c>
      <c r="B748" s="2"/>
      <c r="C748" s="2" t="str">
        <f>IFERROR(__xludf.DUMMYFUNCTION("""COMPUTED_VALUE"""),"Club")</f>
        <v>Club</v>
      </c>
      <c r="D748" s="2" t="str">
        <f>IFERROR(__xludf.DUMMYFUNCTION("""COMPUTED_VALUE"""),"Hand")</f>
        <v>Hand</v>
      </c>
      <c r="E748" s="2">
        <f>IFERROR(__xludf.DUMMYFUNCTION("""COMPUTED_VALUE"""),2400.0)</f>
        <v>2400</v>
      </c>
      <c r="F748" s="2" t="str">
        <f>IFERROR(__xludf.DUMMYFUNCTION("""COMPUTED_VALUE"""),"DMG: +20000, Storm DMG: +100000 ++If multiple enemies of the same type are present, attacks hit all enemies of that type. +-Cannot be forged or duplicated")</f>
        <v>DMG: +20000, Storm DMG: +100000 ++If multiple enemies of the same type are present, attacks hit all enemies of that type. +-Cannot be forged or duplicated</v>
      </c>
      <c r="G748" s="2">
        <f>IFERROR(__xludf.DUMMYFUNCTION("""COMPUTED_VALUE"""),2.868E8)</f>
        <v>286800000</v>
      </c>
      <c r="H748" s="2"/>
      <c r="I748" s="2"/>
      <c r="J748" s="2"/>
      <c r="K748" s="2"/>
      <c r="L748" s="2"/>
      <c r="M748" s="2"/>
      <c r="N748" s="2"/>
      <c r="O748" s="2"/>
      <c r="P748" s="2"/>
      <c r="Q748" s="2"/>
      <c r="R748" s="2"/>
      <c r="S748" s="2"/>
      <c r="T748" s="2"/>
      <c r="U748" s="2"/>
      <c r="V748" s="2"/>
      <c r="W748" s="2"/>
      <c r="X748" s="2"/>
      <c r="Y748" s="2"/>
      <c r="Z748" s="2"/>
    </row>
    <row r="749">
      <c r="A749" s="2" t="str">
        <f>IFERROR(__xludf.DUMMYFUNCTION("""COMPUTED_VALUE"""),"Dragonscale Spear")</f>
        <v>Dragonscale Spear</v>
      </c>
      <c r="B749" s="2"/>
      <c r="C749" s="2" t="str">
        <f>IFERROR(__xludf.DUMMYFUNCTION("""COMPUTED_VALUE"""),"Spear")</f>
        <v>Spear</v>
      </c>
      <c r="D749" s="2" t="str">
        <f>IFERROR(__xludf.DUMMYFUNCTION("""COMPUTED_VALUE"""),"Hand")</f>
        <v>Hand</v>
      </c>
      <c r="E749" s="2">
        <f>IFERROR(__xludf.DUMMYFUNCTION("""COMPUTED_VALUE"""),2800.0)</f>
        <v>2800</v>
      </c>
      <c r="F749" s="2" t="str">
        <f>IFERROR(__xludf.DUMMYFUNCTION("""COMPUTED_VALUE"""),"DMG: +140000")</f>
        <v>DMG: +140000</v>
      </c>
      <c r="G749" s="2">
        <f>IFERROR(__xludf.DUMMYFUNCTION("""COMPUTED_VALUE"""),3.906E8)</f>
        <v>390600000</v>
      </c>
      <c r="H749" s="2"/>
      <c r="I749" s="2"/>
      <c r="J749" s="2"/>
      <c r="K749" s="2"/>
      <c r="L749" s="2"/>
      <c r="M749" s="2"/>
      <c r="N749" s="2"/>
      <c r="O749" s="2"/>
      <c r="P749" s="2"/>
      <c r="Q749" s="2"/>
      <c r="R749" s="2"/>
      <c r="S749" s="2"/>
      <c r="T749" s="2"/>
      <c r="U749" s="2"/>
      <c r="V749" s="2"/>
      <c r="W749" s="2"/>
      <c r="X749" s="2"/>
      <c r="Y749" s="2"/>
      <c r="Z749" s="2"/>
    </row>
    <row r="750">
      <c r="A750" s="2" t="str">
        <f>IFERROR(__xludf.DUMMYFUNCTION("""COMPUTED_VALUE"""),"Dragonscale Scythe")</f>
        <v>Dragonscale Scythe</v>
      </c>
      <c r="B750" s="2"/>
      <c r="C750" s="2" t="str">
        <f>IFERROR(__xludf.DUMMYFUNCTION("""COMPUTED_VALUE"""),"Scythe")</f>
        <v>Scythe</v>
      </c>
      <c r="D750" s="2" t="str">
        <f>IFERROR(__xludf.DUMMYFUNCTION("""COMPUTED_VALUE"""),"Hand")</f>
        <v>Hand</v>
      </c>
      <c r="E750" s="2">
        <f>IFERROR(__xludf.DUMMYFUNCTION("""COMPUTED_VALUE"""),2500.0)</f>
        <v>2500</v>
      </c>
      <c r="F750" s="2" t="str">
        <f>IFERROR(__xludf.DUMMYFUNCTION("""COMPUTED_VALUE"""),"DMG: +125000 ++If used to kill a dragon, 100% chance to get its soul. +-Cannot be forged or duplicated")</f>
        <v>DMG: +125000 ++If used to kill a dragon, 100% chance to get its soul. +-Cannot be forged or duplicated</v>
      </c>
      <c r="G750" s="2">
        <f>IFERROR(__xludf.DUMMYFUNCTION("""COMPUTED_VALUE"""),3.1125E8)</f>
        <v>311250000</v>
      </c>
      <c r="H750" s="2"/>
      <c r="I750" s="2"/>
      <c r="J750" s="2"/>
      <c r="K750" s="2"/>
      <c r="L750" s="2"/>
      <c r="M750" s="2"/>
      <c r="N750" s="2"/>
      <c r="O750" s="2"/>
      <c r="P750" s="2"/>
      <c r="Q750" s="2"/>
      <c r="R750" s="2"/>
      <c r="S750" s="2"/>
      <c r="T750" s="2"/>
      <c r="U750" s="2"/>
      <c r="V750" s="2"/>
      <c r="W750" s="2"/>
      <c r="X750" s="2"/>
      <c r="Y750" s="2"/>
      <c r="Z750" s="2"/>
    </row>
    <row r="751">
      <c r="A751" s="2" t="str">
        <f>IFERROR(__xludf.DUMMYFUNCTION("""COMPUTED_VALUE"""),"Dark Dragonscale Claws")</f>
        <v>Dark Dragonscale Claws</v>
      </c>
      <c r="B751" s="2"/>
      <c r="C751" s="2" t="str">
        <f>IFERROR(__xludf.DUMMYFUNCTION("""COMPUTED_VALUE"""),"Claw")</f>
        <v>Claw</v>
      </c>
      <c r="D751" s="2" t="str">
        <f>IFERROR(__xludf.DUMMYFUNCTION("""COMPUTED_VALUE"""),"Hand")</f>
        <v>Hand</v>
      </c>
      <c r="E751" s="2">
        <f>IFERROR(__xludf.DUMMYFUNCTION("""COMPUTED_VALUE"""),2900.0)</f>
        <v>2900</v>
      </c>
      <c r="F751" s="2" t="str">
        <f>IFERROR(__xludf.DUMMYFUNCTION("""COMPUTED_VALUE"""),", Dark DMG: +145000 ++ 30% chance to remove enemy from battle")</f>
        <v>, Dark DMG: +145000 ++ 30% chance to remove enemy from battle</v>
      </c>
      <c r="G751" s="2">
        <f>IFERROR(__xludf.DUMMYFUNCTION("""COMPUTED_VALUE"""),4.1905E8)</f>
        <v>419050000</v>
      </c>
      <c r="H751" s="2"/>
      <c r="I751" s="2"/>
      <c r="J751" s="2"/>
      <c r="K751" s="2"/>
      <c r="L751" s="2"/>
      <c r="M751" s="2"/>
      <c r="N751" s="2"/>
      <c r="O751" s="2"/>
      <c r="P751" s="2"/>
      <c r="Q751" s="2"/>
      <c r="R751" s="2"/>
      <c r="S751" s="2"/>
      <c r="T751" s="2"/>
      <c r="U751" s="2"/>
      <c r="V751" s="2"/>
      <c r="W751" s="2"/>
      <c r="X751" s="2"/>
      <c r="Y751" s="2"/>
      <c r="Z751" s="2"/>
    </row>
    <row r="752">
      <c r="A752" s="2" t="str">
        <f>IFERROR(__xludf.DUMMYFUNCTION("""COMPUTED_VALUE"""),"Chaotic Dragonscale Claw")</f>
        <v>Chaotic Dragonscale Claw</v>
      </c>
      <c r="B752" s="2"/>
      <c r="C752" s="2" t="str">
        <f>IFERROR(__xludf.DUMMYFUNCTION("""COMPUTED_VALUE"""),"Claw")</f>
        <v>Claw</v>
      </c>
      <c r="D752" s="2" t="str">
        <f>IFERROR(__xludf.DUMMYFUNCTION("""COMPUTED_VALUE"""),"Hand")</f>
        <v>Hand</v>
      </c>
      <c r="E752" s="2">
        <f>IFERROR(__xludf.DUMMYFUNCTION("""COMPUTED_VALUE"""),2350.0)</f>
        <v>2350</v>
      </c>
      <c r="F752" s="2" t="str">
        <f>IFERROR(__xludf.DUMMYFUNCTION("""COMPUTED_VALUE"""),"DMG: +1, Chaos DMG: +117000 +-5% chance of dealing 1 damage when attacking")</f>
        <v>DMG: +1, Chaos DMG: +117000 +-5% chance of dealing 1 damage when attacking</v>
      </c>
      <c r="G752" s="2">
        <f>IFERROR(__xludf.DUMMYFUNCTION("""COMPUTED_VALUE"""),2.7261E8)</f>
        <v>272610000</v>
      </c>
      <c r="H752" s="2"/>
      <c r="I752" s="2"/>
      <c r="J752" s="2"/>
      <c r="K752" s="2"/>
      <c r="L752" s="2"/>
      <c r="M752" s="2"/>
      <c r="N752" s="2"/>
      <c r="O752" s="2"/>
      <c r="P752" s="2"/>
      <c r="Q752" s="2"/>
      <c r="R752" s="2"/>
      <c r="S752" s="2"/>
      <c r="T752" s="2"/>
      <c r="U752" s="2"/>
      <c r="V752" s="2"/>
      <c r="W752" s="2"/>
      <c r="X752" s="2"/>
      <c r="Y752" s="2"/>
      <c r="Z752" s="2"/>
    </row>
    <row r="753">
      <c r="A753" s="2" t="str">
        <f>IFERROR(__xludf.DUMMYFUNCTION("""COMPUTED_VALUE"""),"Earthen Dragonscale Boots")</f>
        <v>Earthen Dragonscale Boots</v>
      </c>
      <c r="B753" s="2"/>
      <c r="C753" s="2" t="str">
        <f>IFERROR(__xludf.DUMMYFUNCTION("""COMPUTED_VALUE"""),"Item")</f>
        <v>Item</v>
      </c>
      <c r="D753" s="2" t="str">
        <f>IFERROR(__xludf.DUMMYFUNCTION("""COMPUTED_VALUE"""),"Feet")</f>
        <v>Feet</v>
      </c>
      <c r="E753" s="2">
        <f>IFERROR(__xludf.DUMMYFUNCTION("""COMPUTED_VALUE"""),3000.0)</f>
        <v>3000</v>
      </c>
      <c r="F753" s="2" t="str">
        <f>IFERROR(__xludf.DUMMYFUNCTION("""COMPUTED_VALUE"""),"DEF: +60000, Earth DEF: +90000 ++Immune to Earth spells")</f>
        <v>DEF: +60000, Earth DEF: +90000 ++Immune to Earth spells</v>
      </c>
      <c r="G753" s="2">
        <f>IFERROR(__xludf.DUMMYFUNCTION("""COMPUTED_VALUE"""),4.485E8)</f>
        <v>448500000</v>
      </c>
      <c r="H753" s="2"/>
      <c r="I753" s="2"/>
      <c r="J753" s="2"/>
      <c r="K753" s="2"/>
      <c r="L753" s="2"/>
      <c r="M753" s="2"/>
      <c r="N753" s="2"/>
      <c r="O753" s="2"/>
      <c r="P753" s="2"/>
      <c r="Q753" s="2"/>
      <c r="R753" s="2"/>
      <c r="S753" s="2"/>
      <c r="T753" s="2"/>
      <c r="U753" s="2"/>
      <c r="V753" s="2"/>
      <c r="W753" s="2"/>
      <c r="X753" s="2"/>
      <c r="Y753" s="2"/>
      <c r="Z753" s="2"/>
    </row>
    <row r="754">
      <c r="A754" s="2" t="str">
        <f>IFERROR(__xludf.DUMMYFUNCTION("""COMPUTED_VALUE"""),"Dragonscale Harp")</f>
        <v>Dragonscale Harp</v>
      </c>
      <c r="B754" s="2"/>
      <c r="C754" s="2" t="str">
        <f>IFERROR(__xludf.DUMMYFUNCTION("""COMPUTED_VALUE"""),"Instrument")</f>
        <v>Instrument</v>
      </c>
      <c r="D754" s="2" t="str">
        <f>IFERROR(__xludf.DUMMYFUNCTION("""COMPUTED_VALUE"""),"Hand")</f>
        <v>Hand</v>
      </c>
      <c r="E754" s="2">
        <f>IFERROR(__xludf.DUMMYFUNCTION("""COMPUTED_VALUE"""),2620.0)</f>
        <v>2620</v>
      </c>
      <c r="F754" s="2" t="str">
        <f>IFERROR(__xludf.DUMMYFUNCTION("""COMPUTED_VALUE"""),"DMG: +1000, Acoustic DMG: +130000 ++Causes any dragon enemies to skip its next turn when attacked.")</f>
        <v>DMG: +1000, Acoustic DMG: +130000 ++Causes any dragon enemies to skip its next turn when attacked.</v>
      </c>
      <c r="G754" s="2">
        <f>IFERROR(__xludf.DUMMYFUNCTION("""COMPUTED_VALUE"""),3.4191E8)</f>
        <v>341910000</v>
      </c>
      <c r="H754" s="2"/>
      <c r="I754" s="2"/>
      <c r="J754" s="2"/>
      <c r="K754" s="2"/>
      <c r="L754" s="2"/>
      <c r="M754" s="2"/>
      <c r="N754" s="2"/>
      <c r="O754" s="2"/>
      <c r="P754" s="2"/>
      <c r="Q754" s="2"/>
      <c r="R754" s="2"/>
      <c r="S754" s="2"/>
      <c r="T754" s="2"/>
      <c r="U754" s="2"/>
      <c r="V754" s="2"/>
      <c r="W754" s="2"/>
      <c r="X754" s="2"/>
      <c r="Y754" s="2"/>
      <c r="Z754" s="2"/>
    </row>
    <row r="755">
      <c r="A755" s="2" t="str">
        <f>IFERROR(__xludf.DUMMYFUNCTION("""COMPUTED_VALUE"""),"Dragonscale Bracers")</f>
        <v>Dragonscale Bracers</v>
      </c>
      <c r="B755" s="2"/>
      <c r="C755" s="2" t="str">
        <f>IFERROR(__xludf.DUMMYFUNCTION("""COMPUTED_VALUE"""),"Item")</f>
        <v>Item</v>
      </c>
      <c r="D755" s="2" t="str">
        <f>IFERROR(__xludf.DUMMYFUNCTION("""COMPUTED_VALUE"""),"Arms")</f>
        <v>Arms</v>
      </c>
      <c r="E755" s="2">
        <f>IFERROR(__xludf.DUMMYFUNCTION("""COMPUTED_VALUE"""),2000.0)</f>
        <v>2000</v>
      </c>
      <c r="F755" s="2" t="str">
        <f>IFERROR(__xludf.DUMMYFUNCTION("""COMPUTED_VALUE"""),"DEF: +100000 ++X2 DEF when fighting a dragon(s).")</f>
        <v>DEF: +100000 ++X2 DEF when fighting a dragon(s).</v>
      </c>
      <c r="G755" s="2">
        <f>IFERROR(__xludf.DUMMYFUNCTION("""COMPUTED_VALUE"""),1.99E8)</f>
        <v>199000000</v>
      </c>
      <c r="H755" s="2"/>
      <c r="I755" s="2"/>
      <c r="J755" s="2"/>
      <c r="K755" s="2"/>
      <c r="L755" s="2"/>
      <c r="M755" s="2"/>
      <c r="N755" s="2"/>
      <c r="O755" s="2"/>
      <c r="P755" s="2"/>
      <c r="Q755" s="2"/>
      <c r="R755" s="2"/>
      <c r="S755" s="2"/>
      <c r="T755" s="2"/>
      <c r="U755" s="2"/>
      <c r="V755" s="2"/>
      <c r="W755" s="2"/>
      <c r="X755" s="2"/>
      <c r="Y755" s="2"/>
      <c r="Z755" s="2"/>
    </row>
    <row r="756">
      <c r="A756" s="2" t="str">
        <f>IFERROR(__xludf.DUMMYFUNCTION("""COMPUTED_VALUE"""),"Dragonscale Crown")</f>
        <v>Dragonscale Crown</v>
      </c>
      <c r="B756" s="2"/>
      <c r="C756" s="2" t="str">
        <f>IFERROR(__xludf.DUMMYFUNCTION("""COMPUTED_VALUE"""),"Item")</f>
        <v>Item</v>
      </c>
      <c r="D756" s="2" t="str">
        <f>IFERROR(__xludf.DUMMYFUNCTION("""COMPUTED_VALUE"""),"Head")</f>
        <v>Head</v>
      </c>
      <c r="E756" s="2">
        <f>IFERROR(__xludf.DUMMYFUNCTION("""COMPUTED_VALUE"""),1.0)</f>
        <v>1</v>
      </c>
      <c r="F756" s="2" t="str">
        <f>IFERROR(__xludf.DUMMYFUNCTION("""COMPUTED_VALUE""")," ++7,500 additional HP and SP, +-Cannot be forged or duplicated")</f>
        <v> ++7,500 additional HP and SP, +-Cannot be forged or duplicated</v>
      </c>
      <c r="G756" s="2">
        <f>IFERROR(__xludf.DUMMYFUNCTION("""COMPUTED_VALUE"""),0.0)</f>
        <v>0</v>
      </c>
      <c r="H756" s="2"/>
      <c r="I756" s="2"/>
      <c r="J756" s="2"/>
      <c r="K756" s="2"/>
      <c r="L756" s="2"/>
      <c r="M756" s="2"/>
      <c r="N756" s="2"/>
      <c r="O756" s="2"/>
      <c r="P756" s="2"/>
      <c r="Q756" s="2"/>
      <c r="R756" s="2"/>
      <c r="S756" s="2"/>
      <c r="T756" s="2"/>
      <c r="U756" s="2"/>
      <c r="V756" s="2"/>
      <c r="W756" s="2"/>
      <c r="X756" s="2"/>
      <c r="Y756" s="2"/>
      <c r="Z756" s="2"/>
    </row>
    <row r="757">
      <c r="A757" s="2" t="str">
        <f>IFERROR(__xludf.DUMMYFUNCTION("""COMPUTED_VALUE"""),"Dragonscale Helm")</f>
        <v>Dragonscale Helm</v>
      </c>
      <c r="B757" s="2"/>
      <c r="C757" s="2" t="str">
        <f>IFERROR(__xludf.DUMMYFUNCTION("""COMPUTED_VALUE"""),"Item")</f>
        <v>Item</v>
      </c>
      <c r="D757" s="2" t="str">
        <f>IFERROR(__xludf.DUMMYFUNCTION("""COMPUTED_VALUE"""),"Head")</f>
        <v>Head</v>
      </c>
      <c r="E757" s="2">
        <f>IFERROR(__xludf.DUMMYFUNCTION("""COMPUTED_VALUE"""),2600.0)</f>
        <v>2600</v>
      </c>
      <c r="F757" s="2" t="str">
        <f>IFERROR(__xludf.DUMMYFUNCTION("""COMPUTED_VALUE"""),"DEF: +130000")</f>
        <v>DEF: +130000</v>
      </c>
      <c r="G757" s="2">
        <f>IFERROR(__xludf.DUMMYFUNCTION("""COMPUTED_VALUE"""),3.367E8)</f>
        <v>336700000</v>
      </c>
      <c r="H757" s="2"/>
      <c r="I757" s="2"/>
      <c r="J757" s="2"/>
      <c r="K757" s="2"/>
      <c r="L757" s="2"/>
      <c r="M757" s="2"/>
      <c r="N757" s="2"/>
      <c r="O757" s="2"/>
      <c r="P757" s="2"/>
      <c r="Q757" s="2"/>
      <c r="R757" s="2"/>
      <c r="S757" s="2"/>
      <c r="T757" s="2"/>
      <c r="U757" s="2"/>
      <c r="V757" s="2"/>
      <c r="W757" s="2"/>
      <c r="X757" s="2"/>
      <c r="Y757" s="2"/>
      <c r="Z757" s="2"/>
    </row>
    <row r="758">
      <c r="A758" s="2" t="str">
        <f>IFERROR(__xludf.DUMMYFUNCTION("""COMPUTED_VALUE"""),"Dragonscale Rifle")</f>
        <v>Dragonscale Rifle</v>
      </c>
      <c r="B758" s="2"/>
      <c r="C758" s="2" t="str">
        <f>IFERROR(__xludf.DUMMYFUNCTION("""COMPUTED_VALUE"""),"Firearm")</f>
        <v>Firearm</v>
      </c>
      <c r="D758" s="2" t="str">
        <f>IFERROR(__xludf.DUMMYFUNCTION("""COMPUTED_VALUE"""),"Hand")</f>
        <v>Hand</v>
      </c>
      <c r="E758" s="2">
        <f>IFERROR(__xludf.DUMMYFUNCTION("""COMPUTED_VALUE"""),3400.0)</f>
        <v>3400</v>
      </c>
      <c r="F758" s="2" t="str">
        <f>IFERROR(__xludf.DUMMYFUNCTION("""COMPUTED_VALUE"""),"DMG: +170000  +-Uses bullets")</f>
        <v>DMG: +170000  +-Uses bullets</v>
      </c>
      <c r="G758" s="2">
        <f>IFERROR(__xludf.DUMMYFUNCTION("""COMPUTED_VALUE"""),5.763E8)</f>
        <v>576300000</v>
      </c>
      <c r="H758" s="2"/>
      <c r="I758" s="2"/>
      <c r="J758" s="2"/>
      <c r="K758" s="2"/>
      <c r="L758" s="2"/>
      <c r="M758" s="2"/>
      <c r="N758" s="2"/>
      <c r="O758" s="2"/>
      <c r="P758" s="2"/>
      <c r="Q758" s="2"/>
      <c r="R758" s="2"/>
      <c r="S758" s="2"/>
      <c r="T758" s="2"/>
      <c r="U758" s="2"/>
      <c r="V758" s="2"/>
      <c r="W758" s="2"/>
      <c r="X758" s="2"/>
      <c r="Y758" s="2"/>
      <c r="Z758" s="2"/>
    </row>
    <row r="759">
      <c r="A759" s="2" t="str">
        <f>IFERROR(__xludf.DUMMYFUNCTION("""COMPUTED_VALUE"""),"Searing Dragonscale Staff")</f>
        <v>Searing Dragonscale Staff</v>
      </c>
      <c r="B759" s="2"/>
      <c r="C759" s="2" t="str">
        <f>IFERROR(__xludf.DUMMYFUNCTION("""COMPUTED_VALUE"""),"Staff")</f>
        <v>Staff</v>
      </c>
      <c r="D759" s="2" t="str">
        <f>IFERROR(__xludf.DUMMYFUNCTION("""COMPUTED_VALUE"""),"Hand")</f>
        <v>Hand</v>
      </c>
      <c r="E759" s="2">
        <f>IFERROR(__xludf.DUMMYFUNCTION("""COMPUTED_VALUE"""),3000.0)</f>
        <v>3000</v>
      </c>
      <c r="F759" s="2" t="str">
        <f>IFERROR(__xludf.DUMMYFUNCTION("""COMPUTED_VALUE"""),", Light DMG: +150000")</f>
        <v>, Light DMG: +150000</v>
      </c>
      <c r="G759" s="2">
        <f>IFERROR(__xludf.DUMMYFUNCTION("""COMPUTED_VALUE"""),4.485E8)</f>
        <v>448500000</v>
      </c>
      <c r="H759" s="2"/>
      <c r="I759" s="2"/>
      <c r="J759" s="2"/>
      <c r="K759" s="2"/>
      <c r="L759" s="2"/>
      <c r="M759" s="2"/>
      <c r="N759" s="2"/>
      <c r="O759" s="2"/>
      <c r="P759" s="2"/>
      <c r="Q759" s="2"/>
      <c r="R759" s="2"/>
      <c r="S759" s="2"/>
      <c r="T759" s="2"/>
      <c r="U759" s="2"/>
      <c r="V759" s="2"/>
      <c r="W759" s="2"/>
      <c r="X759" s="2"/>
      <c r="Y759" s="2"/>
      <c r="Z759" s="2"/>
    </row>
    <row r="760">
      <c r="A760" s="2" t="str">
        <f>IFERROR(__xludf.DUMMYFUNCTION("""COMPUTED_VALUE"""),"Forgotten Scythe")</f>
        <v>Forgotten Scythe</v>
      </c>
      <c r="B760" s="2"/>
      <c r="C760" s="2" t="str">
        <f>IFERROR(__xludf.DUMMYFUNCTION("""COMPUTED_VALUE"""),"Scythe")</f>
        <v>Scythe</v>
      </c>
      <c r="D760" s="2" t="str">
        <f>IFERROR(__xludf.DUMMYFUNCTION("""COMPUTED_VALUE"""),"Hand")</f>
        <v>Hand</v>
      </c>
      <c r="E760" s="2">
        <f>IFERROR(__xludf.DUMMYFUNCTION("""COMPUTED_VALUE"""),5800.0)</f>
        <v>5800</v>
      </c>
      <c r="F760" s="2" t="str">
        <f>IFERROR(__xludf.DUMMYFUNCTION("""COMPUTED_VALUE"""),", Chaos DMG: +290000")</f>
        <v>, Chaos DMG: +290000</v>
      </c>
      <c r="G760" s="2">
        <f>IFERROR(__xludf.DUMMYFUNCTION("""COMPUTED_VALUE"""),1.6791E9)</f>
        <v>1679100000</v>
      </c>
      <c r="H760" s="2"/>
      <c r="I760" s="2"/>
      <c r="J760" s="2"/>
      <c r="K760" s="2"/>
      <c r="L760" s="2"/>
      <c r="M760" s="2"/>
      <c r="N760" s="2"/>
      <c r="O760" s="2"/>
      <c r="P760" s="2"/>
      <c r="Q760" s="2"/>
      <c r="R760" s="2"/>
      <c r="S760" s="2"/>
      <c r="T760" s="2"/>
      <c r="U760" s="2"/>
      <c r="V760" s="2"/>
      <c r="W760" s="2"/>
      <c r="X760" s="2"/>
      <c r="Y760" s="2"/>
      <c r="Z760" s="2"/>
    </row>
    <row r="761">
      <c r="A761" s="2" t="str">
        <f>IFERROR(__xludf.DUMMYFUNCTION("""COMPUTED_VALUE"""),"Forsaken Club")</f>
        <v>Forsaken Club</v>
      </c>
      <c r="B761" s="2"/>
      <c r="C761" s="2" t="str">
        <f>IFERROR(__xludf.DUMMYFUNCTION("""COMPUTED_VALUE"""),"Club")</f>
        <v>Club</v>
      </c>
      <c r="D761" s="2" t="str">
        <f>IFERROR(__xludf.DUMMYFUNCTION("""COMPUTED_VALUE"""),"Hand")</f>
        <v>Hand</v>
      </c>
      <c r="E761" s="2">
        <f>IFERROR(__xludf.DUMMYFUNCTION("""COMPUTED_VALUE"""),5000.0)</f>
        <v>5000</v>
      </c>
      <c r="F761" s="2" t="str">
        <f>IFERROR(__xludf.DUMMYFUNCTION("""COMPUTED_VALUE"""),"DMG: +250000")</f>
        <v>DMG: +250000</v>
      </c>
      <c r="G761" s="2">
        <f>IFERROR(__xludf.DUMMYFUNCTION("""COMPUTED_VALUE"""),1.2475E9)</f>
        <v>1247500000</v>
      </c>
      <c r="H761" s="2"/>
      <c r="I761" s="2"/>
      <c r="J761" s="2"/>
      <c r="K761" s="2"/>
      <c r="L761" s="2"/>
      <c r="M761" s="2"/>
      <c r="N761" s="2"/>
      <c r="O761" s="2"/>
      <c r="P761" s="2"/>
      <c r="Q761" s="2"/>
      <c r="R761" s="2"/>
      <c r="S761" s="2"/>
      <c r="T761" s="2"/>
      <c r="U761" s="2"/>
      <c r="V761" s="2"/>
      <c r="W761" s="2"/>
      <c r="X761" s="2"/>
      <c r="Y761" s="2"/>
      <c r="Z761" s="2"/>
    </row>
    <row r="762">
      <c r="A762" s="2" t="str">
        <f>IFERROR(__xludf.DUMMYFUNCTION("""COMPUTED_VALUE"""),"Demonic Breastplate")</f>
        <v>Demonic Breastplate</v>
      </c>
      <c r="B762" s="2"/>
      <c r="C762" s="2" t="str">
        <f>IFERROR(__xludf.DUMMYFUNCTION("""COMPUTED_VALUE"""),"Item")</f>
        <v>Item</v>
      </c>
      <c r="D762" s="2" t="str">
        <f>IFERROR(__xludf.DUMMYFUNCTION("""COMPUTED_VALUE"""),"Torso")</f>
        <v>Torso</v>
      </c>
      <c r="E762" s="2">
        <f>IFERROR(__xludf.DUMMYFUNCTION("""COMPUTED_VALUE"""),4000.0)</f>
        <v>4000</v>
      </c>
      <c r="F762" s="2" t="str">
        <f>IFERROR(__xludf.DUMMYFUNCTION("""COMPUTED_VALUE"""),"DEF: +50000, Fire DEF: +50000, Dark DEF: +50000, Chaos DEF: +50000")</f>
        <v>DEF: +50000, Fire DEF: +50000, Dark DEF: +50000, Chaos DEF: +50000</v>
      </c>
      <c r="G762" s="2">
        <f>IFERROR(__xludf.DUMMYFUNCTION("""COMPUTED_VALUE"""),7.98E8)</f>
        <v>798000000</v>
      </c>
      <c r="H762" s="2"/>
      <c r="I762" s="2"/>
      <c r="J762" s="2"/>
      <c r="K762" s="2"/>
      <c r="L762" s="2"/>
      <c r="M762" s="2"/>
      <c r="N762" s="2"/>
      <c r="O762" s="2"/>
      <c r="P762" s="2"/>
      <c r="Q762" s="2"/>
      <c r="R762" s="2"/>
      <c r="S762" s="2"/>
      <c r="T762" s="2"/>
      <c r="U762" s="2"/>
      <c r="V762" s="2"/>
      <c r="W762" s="2"/>
      <c r="X762" s="2"/>
      <c r="Y762" s="2"/>
      <c r="Z762" s="2"/>
    </row>
    <row r="763">
      <c r="A763" s="2" t="str">
        <f>IFERROR(__xludf.DUMMYFUNCTION("""COMPUTED_VALUE"""),"Fallen Ruler's Crown")</f>
        <v>Fallen Ruler's Crown</v>
      </c>
      <c r="B763" s="2"/>
      <c r="C763" s="2" t="str">
        <f>IFERROR(__xludf.DUMMYFUNCTION("""COMPUTED_VALUE"""),"Item")</f>
        <v>Item</v>
      </c>
      <c r="D763" s="2" t="str">
        <f>IFERROR(__xludf.DUMMYFUNCTION("""COMPUTED_VALUE"""),"Head")</f>
        <v>Head</v>
      </c>
      <c r="E763" s="2">
        <f>IFERROR(__xludf.DUMMYFUNCTION("""COMPUTED_VALUE"""),1.0)</f>
        <v>1</v>
      </c>
      <c r="F763" s="2" t="str">
        <f>IFERROR(__xludf.DUMMYFUNCTION("""COMPUTED_VALUE""")," ++5% chance undead enemies will willingly surrender +-Cannot be forged or duplicated")</f>
        <v> ++5% chance undead enemies will willingly surrender +-Cannot be forged or duplicated</v>
      </c>
      <c r="G763" s="2">
        <f>IFERROR(__xludf.DUMMYFUNCTION("""COMPUTED_VALUE"""),0.0)</f>
        <v>0</v>
      </c>
      <c r="H763" s="2"/>
      <c r="I763" s="2"/>
      <c r="J763" s="2"/>
      <c r="K763" s="2"/>
      <c r="L763" s="2"/>
      <c r="M763" s="2"/>
      <c r="N763" s="2"/>
      <c r="O763" s="2"/>
      <c r="P763" s="2"/>
      <c r="Q763" s="2"/>
      <c r="R763" s="2"/>
      <c r="S763" s="2"/>
      <c r="T763" s="2"/>
      <c r="U763" s="2"/>
      <c r="V763" s="2"/>
      <c r="W763" s="2"/>
      <c r="X763" s="2"/>
      <c r="Y763" s="2"/>
      <c r="Z763" s="2"/>
    </row>
    <row r="764">
      <c r="A764" s="2" t="str">
        <f>IFERROR(__xludf.DUMMYFUNCTION("""COMPUTED_VALUE"""),"Old Knife")</f>
        <v>Old Knife</v>
      </c>
      <c r="B764" s="2"/>
      <c r="C764" s="2" t="str">
        <f>IFERROR(__xludf.DUMMYFUNCTION("""COMPUTED_VALUE"""),"Knife")</f>
        <v>Knife</v>
      </c>
      <c r="D764" s="2" t="str">
        <f>IFERROR(__xludf.DUMMYFUNCTION("""COMPUTED_VALUE"""),"Hand")</f>
        <v>Hand</v>
      </c>
      <c r="E764" s="2">
        <f>IFERROR(__xludf.DUMMYFUNCTION("""COMPUTED_VALUE"""),3640.0)</f>
        <v>3640</v>
      </c>
      <c r="F764" s="2" t="str">
        <f>IFERROR(__xludf.DUMMYFUNCTION("""COMPUTED_VALUE"""),"DMG: +12000, Blood DMG: +170000")</f>
        <v>DMG: +12000, Blood DMG: +170000</v>
      </c>
      <c r="G764" s="2">
        <f>IFERROR(__xludf.DUMMYFUNCTION("""COMPUTED_VALUE"""),6.6066E8)</f>
        <v>660660000</v>
      </c>
      <c r="H764" s="2"/>
      <c r="I764" s="2"/>
      <c r="J764" s="2"/>
      <c r="K764" s="2"/>
      <c r="L764" s="2"/>
      <c r="M764" s="2"/>
      <c r="N764" s="2"/>
      <c r="O764" s="2"/>
      <c r="P764" s="2"/>
      <c r="Q764" s="2"/>
      <c r="R764" s="2"/>
      <c r="S764" s="2"/>
      <c r="T764" s="2"/>
      <c r="U764" s="2"/>
      <c r="V764" s="2"/>
      <c r="W764" s="2"/>
      <c r="X764" s="2"/>
      <c r="Y764" s="2"/>
      <c r="Z764" s="2"/>
    </row>
    <row r="765">
      <c r="A765" s="2" t="str">
        <f>IFERROR(__xludf.DUMMYFUNCTION("""COMPUTED_VALUE"""),"Plunderbuss")</f>
        <v>Plunderbuss</v>
      </c>
      <c r="B765" s="2"/>
      <c r="C765" s="2" t="str">
        <f>IFERROR(__xludf.DUMMYFUNCTION("""COMPUTED_VALUE"""),"Firearm")</f>
        <v>Firearm</v>
      </c>
      <c r="D765" s="2" t="str">
        <f>IFERROR(__xludf.DUMMYFUNCTION("""COMPUTED_VALUE"""),"Hand")</f>
        <v>Hand</v>
      </c>
      <c r="E765" s="2">
        <f>IFERROR(__xludf.DUMMYFUNCTION("""COMPUTED_VALUE"""),3800.0)</f>
        <v>3800</v>
      </c>
      <c r="F765" s="2" t="str">
        <f>IFERROR(__xludf.DUMMYFUNCTION("""COMPUTED_VALUE"""),"DMG: +190000 +-Uses bullets, ++Get two of every loot drop you roll. +-Cannot be forged or duplicated")</f>
        <v>DMG: +190000 +-Uses bullets, ++Get two of every loot drop you roll. +-Cannot be forged or duplicated</v>
      </c>
      <c r="G765" s="2">
        <f>IFERROR(__xludf.DUMMYFUNCTION("""COMPUTED_VALUE"""),7.201E8)</f>
        <v>720100000</v>
      </c>
      <c r="H765" s="2"/>
      <c r="I765" s="2"/>
      <c r="J765" s="2"/>
      <c r="K765" s="2"/>
      <c r="L765" s="2"/>
      <c r="M765" s="2"/>
      <c r="N765" s="2"/>
      <c r="O765" s="2"/>
      <c r="P765" s="2"/>
      <c r="Q765" s="2"/>
      <c r="R765" s="2"/>
      <c r="S765" s="2"/>
      <c r="T765" s="2"/>
      <c r="U765" s="2"/>
      <c r="V765" s="2"/>
      <c r="W765" s="2"/>
      <c r="X765" s="2"/>
      <c r="Y765" s="2"/>
      <c r="Z765" s="2"/>
    </row>
    <row r="766">
      <c r="A766" s="2" t="str">
        <f>IFERROR(__xludf.DUMMYFUNCTION("""COMPUTED_VALUE"""),"Dragon Destroyer")</f>
        <v>Dragon Destroyer</v>
      </c>
      <c r="B766" s="2"/>
      <c r="C766" s="2" t="str">
        <f>IFERROR(__xludf.DUMMYFUNCTION("""COMPUTED_VALUE"""),"Axe")</f>
        <v>Axe</v>
      </c>
      <c r="D766" s="2" t="str">
        <f>IFERROR(__xludf.DUMMYFUNCTION("""COMPUTED_VALUE"""),"Hand")</f>
        <v>Hand</v>
      </c>
      <c r="E766" s="2">
        <f>IFERROR(__xludf.DUMMYFUNCTION("""COMPUTED_VALUE"""),6000.0)</f>
        <v>6000</v>
      </c>
      <c r="F766" s="2" t="str">
        <f>IFERROR(__xludf.DUMMYFUNCTION("""COMPUTED_VALUE"""),"DMG: +300000 ++deals unblockable damage to dragons +-Cannot be forged or duplicated")</f>
        <v>DMG: +300000 ++deals unblockable damage to dragons +-Cannot be forged or duplicated</v>
      </c>
      <c r="G766" s="2">
        <f>IFERROR(__xludf.DUMMYFUNCTION("""COMPUTED_VALUE"""),1.797E9)</f>
        <v>1797000000</v>
      </c>
      <c r="H766" s="2"/>
      <c r="I766" s="2"/>
      <c r="J766" s="2"/>
      <c r="K766" s="2"/>
      <c r="L766" s="2"/>
      <c r="M766" s="2"/>
      <c r="N766" s="2"/>
      <c r="O766" s="2"/>
      <c r="P766" s="2"/>
      <c r="Q766" s="2"/>
      <c r="R766" s="2"/>
      <c r="S766" s="2"/>
      <c r="T766" s="2"/>
      <c r="U766" s="2"/>
      <c r="V766" s="2"/>
      <c r="W766" s="2"/>
      <c r="X766" s="2"/>
      <c r="Y766" s="2"/>
      <c r="Z766" s="2"/>
    </row>
    <row r="767">
      <c r="A767" s="2" t="str">
        <f>IFERROR(__xludf.DUMMYFUNCTION("""COMPUTED_VALUE"""),"Dragonscale of Returns")</f>
        <v>Dragonscale of Returns</v>
      </c>
      <c r="B767" s="2"/>
      <c r="C767" s="2" t="str">
        <f>IFERROR(__xludf.DUMMYFUNCTION("""COMPUTED_VALUE"""),"Boomerang")</f>
        <v>Boomerang</v>
      </c>
      <c r="D767" s="2" t="str">
        <f>IFERROR(__xludf.DUMMYFUNCTION("""COMPUTED_VALUE"""),"Hand")</f>
        <v>Hand</v>
      </c>
      <c r="E767" s="2">
        <f>IFERROR(__xludf.DUMMYFUNCTION("""COMPUTED_VALUE"""),1500.0)</f>
        <v>1500</v>
      </c>
      <c r="F767" s="2" t="str">
        <f>IFERROR(__xludf.DUMMYFUNCTION("""COMPUTED_VALUE"""),"DMG: +75000 ++Receive a dragon scale when thrown at a dragon, +-Cannot be forged or duplicated")</f>
        <v>DMG: +75000 ++Receive a dragon scale when thrown at a dragon, +-Cannot be forged or duplicated</v>
      </c>
      <c r="G767" s="2">
        <f>IFERROR(__xludf.DUMMYFUNCTION("""COMPUTED_VALUE"""),1.1175E8)</f>
        <v>111750000</v>
      </c>
      <c r="H767" s="2"/>
      <c r="I767" s="2"/>
      <c r="J767" s="2"/>
      <c r="K767" s="2"/>
      <c r="L767" s="2"/>
      <c r="M767" s="2"/>
      <c r="N767" s="2"/>
      <c r="O767" s="2"/>
      <c r="P767" s="2"/>
      <c r="Q767" s="2"/>
      <c r="R767" s="2"/>
      <c r="S767" s="2"/>
      <c r="T767" s="2"/>
      <c r="U767" s="2"/>
      <c r="V767" s="2"/>
      <c r="W767" s="2"/>
      <c r="X767" s="2"/>
      <c r="Y767" s="2"/>
      <c r="Z767" s="2"/>
    </row>
    <row r="768">
      <c r="A768" s="2" t="str">
        <f>IFERROR(__xludf.DUMMYFUNCTION("""COMPUTED_VALUE"""),"Brimstone Staff")</f>
        <v>Brimstone Staff</v>
      </c>
      <c r="B768" s="2"/>
      <c r="C768" s="2" t="str">
        <f>IFERROR(__xludf.DUMMYFUNCTION("""COMPUTED_VALUE"""),"Staff")</f>
        <v>Staff</v>
      </c>
      <c r="D768" s="2" t="str">
        <f>IFERROR(__xludf.DUMMYFUNCTION("""COMPUTED_VALUE"""),"Hand")</f>
        <v>Hand</v>
      </c>
      <c r="E768" s="2">
        <f>IFERROR(__xludf.DUMMYFUNCTION("""COMPUTED_VALUE"""),4600.0)</f>
        <v>4600</v>
      </c>
      <c r="F768" s="2" t="str">
        <f>IFERROR(__xludf.DUMMYFUNCTION("""COMPUTED_VALUE"""),", Fire DMG: +230000 ++Fire spells cost half SP, +-Cannot be forged or duplicated")</f>
        <v>, Fire DMG: +230000 ++Fire spells cost half SP, +-Cannot be forged or duplicated</v>
      </c>
      <c r="G768" s="2">
        <f>IFERROR(__xludf.DUMMYFUNCTION("""COMPUTED_VALUE"""),1.0557E9)</f>
        <v>1055700000</v>
      </c>
      <c r="H768" s="2"/>
      <c r="I768" s="2"/>
      <c r="J768" s="2"/>
      <c r="K768" s="2"/>
      <c r="L768" s="2"/>
      <c r="M768" s="2"/>
      <c r="N768" s="2"/>
      <c r="O768" s="2"/>
      <c r="P768" s="2"/>
      <c r="Q768" s="2"/>
      <c r="R768" s="2"/>
      <c r="S768" s="2"/>
      <c r="T768" s="2"/>
      <c r="U768" s="2"/>
      <c r="V768" s="2"/>
      <c r="W768" s="2"/>
      <c r="X768" s="2"/>
      <c r="Y768" s="2"/>
      <c r="Z768" s="2"/>
    </row>
    <row r="769">
      <c r="A769" s="2" t="str">
        <f>IFERROR(__xludf.DUMMYFUNCTION("""COMPUTED_VALUE"""),"Eternal Ember")</f>
        <v>Eternal Ember</v>
      </c>
      <c r="B769" s="2"/>
      <c r="C769" s="2" t="str">
        <f>IFERROR(__xludf.DUMMYFUNCTION("""COMPUTED_VALUE"""),"Item")</f>
        <v>Item</v>
      </c>
      <c r="D769" s="2" t="str">
        <f>IFERROR(__xludf.DUMMYFUNCTION("""COMPUTED_VALUE"""),"Neck")</f>
        <v>Neck</v>
      </c>
      <c r="E769" s="2">
        <f>IFERROR(__xludf.DUMMYFUNCTION("""COMPUTED_VALUE"""),3000.0)</f>
        <v>3000</v>
      </c>
      <c r="F769" s="2" t="str">
        <f>IFERROR(__xludf.DUMMYFUNCTION("""COMPUTED_VALUE"""),", Fire DEF: +150000 ++If you cast a fire spell you can cast it once more in the same turn during battle for no additional SP, +-Cannot be forged or duplicated")</f>
        <v>, Fire DEF: +150000 ++If you cast a fire spell you can cast it once more in the same turn during battle for no additional SP, +-Cannot be forged or duplicated</v>
      </c>
      <c r="G769" s="2">
        <f>IFERROR(__xludf.DUMMYFUNCTION("""COMPUTED_VALUE"""),4.485E8)</f>
        <v>448500000</v>
      </c>
      <c r="H769" s="2"/>
      <c r="I769" s="2"/>
      <c r="J769" s="2"/>
      <c r="K769" s="2"/>
      <c r="L769" s="2"/>
      <c r="M769" s="2"/>
      <c r="N769" s="2"/>
      <c r="O769" s="2"/>
      <c r="P769" s="2"/>
      <c r="Q769" s="2"/>
      <c r="R769" s="2"/>
      <c r="S769" s="2"/>
      <c r="T769" s="2"/>
      <c r="U769" s="2"/>
      <c r="V769" s="2"/>
      <c r="W769" s="2"/>
      <c r="X769" s="2"/>
      <c r="Y769" s="2"/>
      <c r="Z769" s="2"/>
    </row>
    <row r="770">
      <c r="A770" s="2" t="str">
        <f>IFERROR(__xludf.DUMMYFUNCTION("""COMPUTED_VALUE"""),"Crystal Blood")</f>
        <v>Crystal Blood</v>
      </c>
      <c r="B770" s="2"/>
      <c r="C770" s="2" t="str">
        <f>IFERROR(__xludf.DUMMYFUNCTION("""COMPUTED_VALUE"""),"Item")</f>
        <v>Item</v>
      </c>
      <c r="D770" s="2" t="str">
        <f>IFERROR(__xludf.DUMMYFUNCTION("""COMPUTED_VALUE"""),"Neck")</f>
        <v>Neck</v>
      </c>
      <c r="E770" s="2">
        <f>IFERROR(__xludf.DUMMYFUNCTION("""COMPUTED_VALUE"""),1.0)</f>
        <v>1</v>
      </c>
      <c r="F770" s="2" t="str">
        <f>IFERROR(__xludf.DUMMYFUNCTION("""COMPUTED_VALUE""")," ++Wearer's first non-XHP cost blood spell of the battle has no HP cost , +-Cannot be forged or duplicated")</f>
        <v> ++Wearer's first non-XHP cost blood spell of the battle has no HP cost , +-Cannot be forged or duplicated</v>
      </c>
      <c r="G770" s="2">
        <f>IFERROR(__xludf.DUMMYFUNCTION("""COMPUTED_VALUE"""),0.0)</f>
        <v>0</v>
      </c>
      <c r="H770" s="2"/>
      <c r="I770" s="2"/>
      <c r="J770" s="2"/>
      <c r="K770" s="2"/>
      <c r="L770" s="2"/>
      <c r="M770" s="2"/>
      <c r="N770" s="2"/>
      <c r="O770" s="2"/>
      <c r="P770" s="2"/>
      <c r="Q770" s="2"/>
      <c r="R770" s="2"/>
      <c r="S770" s="2"/>
      <c r="T770" s="2"/>
      <c r="U770" s="2"/>
      <c r="V770" s="2"/>
      <c r="W770" s="2"/>
      <c r="X770" s="2"/>
      <c r="Y770" s="2"/>
      <c r="Z770" s="2"/>
    </row>
    <row r="771">
      <c r="A771" s="2" t="str">
        <f>IFERROR(__xludf.DUMMYFUNCTION("""COMPUTED_VALUE"""),"Ultimate Gamble")</f>
        <v>Ultimate Gamble</v>
      </c>
      <c r="B771" s="2"/>
      <c r="C771" s="2" t="str">
        <f>IFERROR(__xludf.DUMMYFUNCTION("""COMPUTED_VALUE"""),"Sword")</f>
        <v>Sword</v>
      </c>
      <c r="D771" s="2" t="str">
        <f>IFERROR(__xludf.DUMMYFUNCTION("""COMPUTED_VALUE"""),"Hand")</f>
        <v>Hand</v>
      </c>
      <c r="E771" s="2">
        <f>IFERROR(__xludf.DUMMYFUNCTION("""COMPUTED_VALUE"""),12000.0)</f>
        <v>12000</v>
      </c>
      <c r="F771" s="2" t="str">
        <f>IFERROR(__xludf.DUMMYFUNCTION("""COMPUTED_VALUE"""),"DMG: +600000 ++Make a Fail/Succeed roll while attacking with this weapon, Success = this weapon becomes unblockable this turn, +-Fail = attack yourself with this weapon.")</f>
        <v>DMG: +600000 ++Make a Fail/Succeed roll while attacking with this weapon, Success = this weapon becomes unblockable this turn, +-Fail = attack yourself with this weapon.</v>
      </c>
      <c r="G771" s="2">
        <f>IFERROR(__xludf.DUMMYFUNCTION("""COMPUTED_VALUE"""),7.194E9)</f>
        <v>7194000000</v>
      </c>
      <c r="H771" s="2"/>
      <c r="I771" s="2"/>
      <c r="J771" s="2"/>
      <c r="K771" s="2"/>
      <c r="L771" s="2"/>
      <c r="M771" s="2"/>
      <c r="N771" s="2"/>
      <c r="O771" s="2"/>
      <c r="P771" s="2"/>
      <c r="Q771" s="2"/>
      <c r="R771" s="2"/>
      <c r="S771" s="2"/>
      <c r="T771" s="2"/>
      <c r="U771" s="2"/>
      <c r="V771" s="2"/>
      <c r="W771" s="2"/>
      <c r="X771" s="2"/>
      <c r="Y771" s="2"/>
      <c r="Z771" s="2"/>
    </row>
    <row r="772">
      <c r="A772" s="2" t="str">
        <f>IFERROR(__xludf.DUMMYFUNCTION("""COMPUTED_VALUE"""),"Awakened Evil")</f>
        <v>Awakened Evil</v>
      </c>
      <c r="B772" s="2"/>
      <c r="C772" s="2" t="str">
        <f>IFERROR(__xludf.DUMMYFUNCTION("""COMPUTED_VALUE"""),"Claw")</f>
        <v>Claw</v>
      </c>
      <c r="D772" s="2" t="str">
        <f>IFERROR(__xludf.DUMMYFUNCTION("""COMPUTED_VALUE"""),"Hand")</f>
        <v>Hand</v>
      </c>
      <c r="E772" s="2">
        <f>IFERROR(__xludf.DUMMYFUNCTION("""COMPUTED_VALUE"""),9000.0)</f>
        <v>9000</v>
      </c>
      <c r="F772" s="2" t="str">
        <f>IFERROR(__xludf.DUMMYFUNCTION("""COMPUTED_VALUE"""),"DMG: +450000")</f>
        <v>DMG: +450000</v>
      </c>
      <c r="G772" s="2">
        <f>IFERROR(__xludf.DUMMYFUNCTION("""COMPUTED_VALUE"""),4.0455E9)</f>
        <v>4045500000</v>
      </c>
      <c r="H772" s="2"/>
      <c r="I772" s="2"/>
      <c r="J772" s="2"/>
      <c r="K772" s="2"/>
      <c r="L772" s="2"/>
      <c r="M772" s="2"/>
      <c r="N772" s="2"/>
      <c r="O772" s="2"/>
      <c r="P772" s="2"/>
      <c r="Q772" s="2"/>
      <c r="R772" s="2"/>
      <c r="S772" s="2"/>
      <c r="T772" s="2"/>
      <c r="U772" s="2"/>
      <c r="V772" s="2"/>
      <c r="W772" s="2"/>
      <c r="X772" s="2"/>
      <c r="Y772" s="2"/>
      <c r="Z772" s="2"/>
    </row>
    <row r="773">
      <c r="A773" s="2" t="str">
        <f>IFERROR(__xludf.DUMMYFUNCTION("""COMPUTED_VALUE"""),"Soldier's Charge")</f>
        <v>Soldier's Charge</v>
      </c>
      <c r="B773" s="2"/>
      <c r="C773" s="2" t="str">
        <f>IFERROR(__xludf.DUMMYFUNCTION("""COMPUTED_VALUE"""),"Firearm")</f>
        <v>Firearm</v>
      </c>
      <c r="D773" s="2" t="str">
        <f>IFERROR(__xludf.DUMMYFUNCTION("""COMPUTED_VALUE"""),"Hand")</f>
        <v>Hand</v>
      </c>
      <c r="E773" s="2">
        <f>IFERROR(__xludf.DUMMYFUNCTION("""COMPUTED_VALUE"""),4400.0)</f>
        <v>4400</v>
      </c>
      <c r="F773" s="2" t="str">
        <f>IFERROR(__xludf.DUMMYFUNCTION("""COMPUTED_VALUE"""),"DMG: +60000, Fire DMG: +60000, Spirit DMG: +100000")</f>
        <v>DMG: +60000, Fire DMG: +60000, Spirit DMG: +100000</v>
      </c>
      <c r="G773" s="2">
        <f>IFERROR(__xludf.DUMMYFUNCTION("""COMPUTED_VALUE"""),9.658E8)</f>
        <v>965800000</v>
      </c>
      <c r="H773" s="2"/>
      <c r="I773" s="2"/>
      <c r="J773" s="2"/>
      <c r="K773" s="2"/>
      <c r="L773" s="2"/>
      <c r="M773" s="2"/>
      <c r="N773" s="2"/>
      <c r="O773" s="2"/>
      <c r="P773" s="2"/>
      <c r="Q773" s="2"/>
      <c r="R773" s="2"/>
      <c r="S773" s="2"/>
      <c r="T773" s="2"/>
      <c r="U773" s="2"/>
      <c r="V773" s="2"/>
      <c r="W773" s="2"/>
      <c r="X773" s="2"/>
      <c r="Y773" s="2"/>
      <c r="Z773" s="2"/>
    </row>
    <row r="774">
      <c r="A774" s="2" t="str">
        <f>IFERROR(__xludf.DUMMYFUNCTION("""COMPUTED_VALUE"""),"Weight of Sin")</f>
        <v>Weight of Sin</v>
      </c>
      <c r="B774" s="2"/>
      <c r="C774" s="2" t="str">
        <f>IFERROR(__xludf.DUMMYFUNCTION("""COMPUTED_VALUE"""),"Item")</f>
        <v>Item</v>
      </c>
      <c r="D774" s="2" t="str">
        <f>IFERROR(__xludf.DUMMYFUNCTION("""COMPUTED_VALUE"""),"Torso")</f>
        <v>Torso</v>
      </c>
      <c r="E774" s="2">
        <f>IFERROR(__xludf.DUMMYFUNCTION("""COMPUTED_VALUE"""),11200.0)</f>
        <v>11200</v>
      </c>
      <c r="F774" s="2" t="str">
        <f>IFERROR(__xludf.DUMMYFUNCTION("""COMPUTED_VALUE"""),"DEF: +560000 +-Always go last in turn order, +-Cannot be removed")</f>
        <v>DEF: +560000 +-Always go last in turn order, +-Cannot be removed</v>
      </c>
      <c r="G774" s="2">
        <f>IFERROR(__xludf.DUMMYFUNCTION("""COMPUTED_VALUE"""),6.2664E9)</f>
        <v>6266400000</v>
      </c>
      <c r="H774" s="2"/>
      <c r="I774" s="2"/>
      <c r="J774" s="2"/>
      <c r="K774" s="2"/>
      <c r="L774" s="2"/>
      <c r="M774" s="2"/>
      <c r="N774" s="2"/>
      <c r="O774" s="2"/>
      <c r="P774" s="2"/>
      <c r="Q774" s="2"/>
      <c r="R774" s="2"/>
      <c r="S774" s="2"/>
      <c r="T774" s="2"/>
      <c r="U774" s="2"/>
      <c r="V774" s="2"/>
      <c r="W774" s="2"/>
      <c r="X774" s="2"/>
      <c r="Y774" s="2"/>
      <c r="Z774" s="2"/>
    </row>
    <row r="775">
      <c r="A775" s="2" t="str">
        <f>IFERROR(__xludf.DUMMYFUNCTION("""COMPUTED_VALUE"""),"Volcano's Summit")</f>
        <v>Volcano's Summit</v>
      </c>
      <c r="B775" s="2"/>
      <c r="C775" s="2" t="str">
        <f>IFERROR(__xludf.DUMMYFUNCTION("""COMPUTED_VALUE"""),"Item")</f>
        <v>Item</v>
      </c>
      <c r="D775" s="2" t="str">
        <f>IFERROR(__xludf.DUMMYFUNCTION("""COMPUTED_VALUE"""),"Head")</f>
        <v>Head</v>
      </c>
      <c r="E775" s="2">
        <f>IFERROR(__xludf.DUMMYFUNCTION("""COMPUTED_VALUE"""),4000.0)</f>
        <v>4000</v>
      </c>
      <c r="F775" s="2" t="str">
        <f>IFERROR(__xludf.DUMMYFUNCTION("""COMPUTED_VALUE"""),", Fire DEF: +200000 ++X2 Fire damage")</f>
        <v>, Fire DEF: +200000 ++X2 Fire damage</v>
      </c>
      <c r="G775" s="2">
        <f>IFERROR(__xludf.DUMMYFUNCTION("""COMPUTED_VALUE"""),7.98E8)</f>
        <v>798000000</v>
      </c>
      <c r="H775" s="2"/>
      <c r="I775" s="2"/>
      <c r="J775" s="2"/>
      <c r="K775" s="2"/>
      <c r="L775" s="2"/>
      <c r="M775" s="2"/>
      <c r="N775" s="2"/>
      <c r="O775" s="2"/>
      <c r="P775" s="2"/>
      <c r="Q775" s="2"/>
      <c r="R775" s="2"/>
      <c r="S775" s="2"/>
      <c r="T775" s="2"/>
      <c r="U775" s="2"/>
      <c r="V775" s="2"/>
      <c r="W775" s="2"/>
      <c r="X775" s="2"/>
      <c r="Y775" s="2"/>
      <c r="Z775" s="2"/>
    </row>
    <row r="776">
      <c r="A776" s="2" t="str">
        <f>IFERROR(__xludf.DUMMYFUNCTION("""COMPUTED_VALUE"""),"Long Distance Loveletter")</f>
        <v>Long Distance Loveletter</v>
      </c>
      <c r="B776" s="2"/>
      <c r="C776" s="2" t="str">
        <f>IFERROR(__xludf.DUMMYFUNCTION("""COMPUTED_VALUE"""),"Firearm")</f>
        <v>Firearm</v>
      </c>
      <c r="D776" s="2" t="str">
        <f>IFERROR(__xludf.DUMMYFUNCTION("""COMPUTED_VALUE"""),"Hand")</f>
        <v>Hand</v>
      </c>
      <c r="E776" s="2">
        <f>IFERROR(__xludf.DUMMYFUNCTION("""COMPUTED_VALUE"""),12000.0)</f>
        <v>12000</v>
      </c>
      <c r="F776" s="2" t="str">
        <f>IFERROR(__xludf.DUMMYFUNCTION("""COMPUTED_VALUE"""),"DMG: +600000 ++10% chance for 1 enemy to become an ally at the beginning of battle.")</f>
        <v>DMG: +600000 ++10% chance for 1 enemy to become an ally at the beginning of battle.</v>
      </c>
      <c r="G776" s="2">
        <f>IFERROR(__xludf.DUMMYFUNCTION("""COMPUTED_VALUE"""),7.194E9)</f>
        <v>7194000000</v>
      </c>
      <c r="H776" s="2"/>
      <c r="I776" s="2"/>
      <c r="J776" s="2"/>
      <c r="K776" s="2"/>
      <c r="L776" s="2"/>
      <c r="M776" s="2"/>
      <c r="N776" s="2"/>
      <c r="O776" s="2"/>
      <c r="P776" s="2"/>
      <c r="Q776" s="2"/>
      <c r="R776" s="2"/>
      <c r="S776" s="2"/>
      <c r="T776" s="2"/>
      <c r="U776" s="2"/>
      <c r="V776" s="2"/>
      <c r="W776" s="2"/>
      <c r="X776" s="2"/>
      <c r="Y776" s="2"/>
      <c r="Z776" s="2"/>
    </row>
    <row r="777">
      <c r="A777" s="2" t="str">
        <f>IFERROR(__xludf.DUMMYFUNCTION("""COMPUTED_VALUE"""),"Cursed Child's Hatchet")</f>
        <v>Cursed Child's Hatchet</v>
      </c>
      <c r="B777" s="2"/>
      <c r="C777" s="2" t="str">
        <f>IFERROR(__xludf.DUMMYFUNCTION("""COMPUTED_VALUE"""),"Axe")</f>
        <v>Axe</v>
      </c>
      <c r="D777" s="2" t="str">
        <f>IFERROR(__xludf.DUMMYFUNCTION("""COMPUTED_VALUE"""),"Hand")</f>
        <v>Hand</v>
      </c>
      <c r="E777" s="2">
        <f>IFERROR(__xludf.DUMMYFUNCTION("""COMPUTED_VALUE"""),3000.0)</f>
        <v>3000</v>
      </c>
      <c r="F777" s="2" t="str">
        <f>IFERROR(__xludf.DUMMYFUNCTION("""COMPUTED_VALUE"""),"DMG: +150000 +- 15% chance of attacking a random ally")</f>
        <v>DMG: +150000 +- 15% chance of attacking a random ally</v>
      </c>
      <c r="G777" s="2">
        <f>IFERROR(__xludf.DUMMYFUNCTION("""COMPUTED_VALUE"""),4.485E8)</f>
        <v>448500000</v>
      </c>
      <c r="H777" s="2"/>
      <c r="I777" s="2"/>
      <c r="J777" s="2"/>
      <c r="K777" s="2"/>
      <c r="L777" s="2"/>
      <c r="M777" s="2"/>
      <c r="N777" s="2"/>
      <c r="O777" s="2"/>
      <c r="P777" s="2"/>
      <c r="Q777" s="2"/>
      <c r="R777" s="2"/>
      <c r="S777" s="2"/>
      <c r="T777" s="2"/>
      <c r="U777" s="2"/>
      <c r="V777" s="2"/>
      <c r="W777" s="2"/>
      <c r="X777" s="2"/>
      <c r="Y777" s="2"/>
      <c r="Z777" s="2"/>
    </row>
    <row r="778">
      <c r="A778" s="2" t="str">
        <f>IFERROR(__xludf.DUMMYFUNCTION("""COMPUTED_VALUE"""),"Helm of Lost Hope")</f>
        <v>Helm of Lost Hope</v>
      </c>
      <c r="B778" s="2"/>
      <c r="C778" s="2" t="str">
        <f>IFERROR(__xludf.DUMMYFUNCTION("""COMPUTED_VALUE"""),"Item")</f>
        <v>Item</v>
      </c>
      <c r="D778" s="2" t="str">
        <f>IFERROR(__xludf.DUMMYFUNCTION("""COMPUTED_VALUE"""),"Head")</f>
        <v>Head</v>
      </c>
      <c r="E778" s="2">
        <f>IFERROR(__xludf.DUMMYFUNCTION("""COMPUTED_VALUE"""),6800.0)</f>
        <v>6800</v>
      </c>
      <c r="F778" s="2" t="str">
        <f>IFERROR(__xludf.DUMMYFUNCTION("""COMPUTED_VALUE"""),"DEF: +340000")</f>
        <v>DEF: +340000</v>
      </c>
      <c r="G778" s="2">
        <f>IFERROR(__xludf.DUMMYFUNCTION("""COMPUTED_VALUE"""),2.3086E9)</f>
        <v>2308600000</v>
      </c>
      <c r="H778" s="2"/>
      <c r="I778" s="2"/>
      <c r="J778" s="2"/>
      <c r="K778" s="2"/>
      <c r="L778" s="2"/>
      <c r="M778" s="2"/>
      <c r="N778" s="2"/>
      <c r="O778" s="2"/>
      <c r="P778" s="2"/>
      <c r="Q778" s="2"/>
      <c r="R778" s="2"/>
      <c r="S778" s="2"/>
      <c r="T778" s="2"/>
      <c r="U778" s="2"/>
      <c r="V778" s="2"/>
      <c r="W778" s="2"/>
      <c r="X778" s="2"/>
      <c r="Y778" s="2"/>
      <c r="Z778" s="2"/>
    </row>
    <row r="779">
      <c r="A779" s="2" t="str">
        <f>IFERROR(__xludf.DUMMYFUNCTION("""COMPUTED_VALUE"""),"Cursed Shield")</f>
        <v>Cursed Shield</v>
      </c>
      <c r="B779" s="2"/>
      <c r="C779" s="2" t="str">
        <f>IFERROR(__xludf.DUMMYFUNCTION("""COMPUTED_VALUE"""),"Towershield")</f>
        <v>Towershield</v>
      </c>
      <c r="D779" s="2" t="str">
        <f>IFERROR(__xludf.DUMMYFUNCTION("""COMPUTED_VALUE"""),"Hand")</f>
        <v>Hand</v>
      </c>
      <c r="E779" s="2">
        <f>IFERROR(__xludf.DUMMYFUNCTION("""COMPUTED_VALUE"""),3200.0)</f>
        <v>3200</v>
      </c>
      <c r="F779" s="2" t="str">
        <f>IFERROR(__xludf.DUMMYFUNCTION("""COMPUTED_VALUE"""),"DEF: +160000 +-Unequipping destroys the item")</f>
        <v>DEF: +160000 +-Unequipping destroys the item</v>
      </c>
      <c r="G779" s="2">
        <f>IFERROR(__xludf.DUMMYFUNCTION("""COMPUTED_VALUE"""),5.104E8)</f>
        <v>510400000</v>
      </c>
      <c r="H779" s="2"/>
      <c r="I779" s="2"/>
      <c r="J779" s="2"/>
      <c r="K779" s="2"/>
      <c r="L779" s="2"/>
      <c r="M779" s="2"/>
      <c r="N779" s="2"/>
      <c r="O779" s="2"/>
      <c r="P779" s="2"/>
      <c r="Q779" s="2"/>
      <c r="R779" s="2"/>
      <c r="S779" s="2"/>
      <c r="T779" s="2"/>
      <c r="U779" s="2"/>
      <c r="V779" s="2"/>
      <c r="W779" s="2"/>
      <c r="X779" s="2"/>
      <c r="Y779" s="2"/>
      <c r="Z779" s="2"/>
    </row>
    <row r="780">
      <c r="A780" s="2" t="str">
        <f>IFERROR(__xludf.DUMMYFUNCTION("""COMPUTED_VALUE"""),"Dragonscale Buckler")</f>
        <v>Dragonscale Buckler</v>
      </c>
      <c r="B780" s="2"/>
      <c r="C780" s="2" t="str">
        <f>IFERROR(__xludf.DUMMYFUNCTION("""COMPUTED_VALUE"""),"Buckler")</f>
        <v>Buckler</v>
      </c>
      <c r="D780" s="2" t="str">
        <f>IFERROR(__xludf.DUMMYFUNCTION("""COMPUTED_VALUE"""),"Hand")</f>
        <v>Hand</v>
      </c>
      <c r="E780" s="2">
        <f>IFERROR(__xludf.DUMMYFUNCTION("""COMPUTED_VALUE"""),2140.0)</f>
        <v>2140</v>
      </c>
      <c r="F780" s="2" t="str">
        <f>IFERROR(__xludf.DUMMYFUNCTION("""COMPUTED_VALUE"""),"DEF: +107000")</f>
        <v>DEF: +107000</v>
      </c>
      <c r="G780" s="2">
        <f>IFERROR(__xludf.DUMMYFUNCTION("""COMPUTED_VALUE"""),2.2791E8)</f>
        <v>227910000</v>
      </c>
      <c r="H780" s="2"/>
      <c r="I780" s="2"/>
      <c r="J780" s="2"/>
      <c r="K780" s="2"/>
      <c r="L780" s="2"/>
      <c r="M780" s="2"/>
      <c r="N780" s="2"/>
      <c r="O780" s="2"/>
      <c r="P780" s="2"/>
      <c r="Q780" s="2"/>
      <c r="R780" s="2"/>
      <c r="S780" s="2"/>
      <c r="T780" s="2"/>
      <c r="U780" s="2"/>
      <c r="V780" s="2"/>
      <c r="W780" s="2"/>
      <c r="X780" s="2"/>
      <c r="Y780" s="2"/>
      <c r="Z780" s="2"/>
    </row>
    <row r="781">
      <c r="A781" s="2" t="str">
        <f>IFERROR(__xludf.DUMMYFUNCTION("""COMPUTED_VALUE"""),"Magma Trident")</f>
        <v>Magma Trident</v>
      </c>
      <c r="B781" s="2"/>
      <c r="C781" s="2" t="str">
        <f>IFERROR(__xludf.DUMMYFUNCTION("""COMPUTED_VALUE"""),"Spear")</f>
        <v>Spear</v>
      </c>
      <c r="D781" s="2" t="str">
        <f>IFERROR(__xludf.DUMMYFUNCTION("""COMPUTED_VALUE"""),"Hand")</f>
        <v>Hand</v>
      </c>
      <c r="E781" s="2">
        <f>IFERROR(__xludf.DUMMYFUNCTION("""COMPUTED_VALUE"""),4000.0)</f>
        <v>4000</v>
      </c>
      <c r="F781" s="2" t="str">
        <f>IFERROR(__xludf.DUMMYFUNCTION("""COMPUTED_VALUE"""),"DMG: +100000, Fire DMG: +100000")</f>
        <v>DMG: +100000, Fire DMG: +100000</v>
      </c>
      <c r="G781" s="2">
        <f>IFERROR(__xludf.DUMMYFUNCTION("""COMPUTED_VALUE"""),7.98E8)</f>
        <v>798000000</v>
      </c>
      <c r="H781" s="2"/>
      <c r="I781" s="2"/>
      <c r="J781" s="2"/>
      <c r="K781" s="2"/>
      <c r="L781" s="2"/>
      <c r="M781" s="2"/>
      <c r="N781" s="2"/>
      <c r="O781" s="2"/>
      <c r="P781" s="2"/>
      <c r="Q781" s="2"/>
      <c r="R781" s="2"/>
      <c r="S781" s="2"/>
      <c r="T781" s="2"/>
      <c r="U781" s="2"/>
      <c r="V781" s="2"/>
      <c r="W781" s="2"/>
      <c r="X781" s="2"/>
      <c r="Y781" s="2"/>
      <c r="Z781" s="2"/>
    </row>
    <row r="782">
      <c r="A782" s="2" t="str">
        <f>IFERROR(__xludf.DUMMYFUNCTION("""COMPUTED_VALUE"""),"Bonemerang")</f>
        <v>Bonemerang</v>
      </c>
      <c r="B782" s="2"/>
      <c r="C782" s="2" t="str">
        <f>IFERROR(__xludf.DUMMYFUNCTION("""COMPUTED_VALUE"""),"Boomerang")</f>
        <v>Boomerang</v>
      </c>
      <c r="D782" s="2" t="str">
        <f>IFERROR(__xludf.DUMMYFUNCTION("""COMPUTED_VALUE"""),"Hand")</f>
        <v>Hand</v>
      </c>
      <c r="E782" s="2">
        <f>IFERROR(__xludf.DUMMYFUNCTION("""COMPUTED_VALUE"""),5200.0)</f>
        <v>5200</v>
      </c>
      <c r="F782" s="2" t="str">
        <f>IFERROR(__xludf.DUMMYFUNCTION("""COMPUTED_VALUE"""),"DMG: +250000, Chaos DMG: +10000")</f>
        <v>DMG: +250000, Chaos DMG: +10000</v>
      </c>
      <c r="G782" s="2">
        <f>IFERROR(__xludf.DUMMYFUNCTION("""COMPUTED_VALUE"""),1.3494E9)</f>
        <v>1349400000</v>
      </c>
      <c r="H782" s="2"/>
      <c r="I782" s="2"/>
      <c r="J782" s="2"/>
      <c r="K782" s="2"/>
      <c r="L782" s="2"/>
      <c r="M782" s="2"/>
      <c r="N782" s="2"/>
      <c r="O782" s="2"/>
      <c r="P782" s="2"/>
      <c r="Q782" s="2"/>
      <c r="R782" s="2"/>
      <c r="S782" s="2"/>
      <c r="T782" s="2"/>
      <c r="U782" s="2"/>
      <c r="V782" s="2"/>
      <c r="W782" s="2"/>
      <c r="X782" s="2"/>
      <c r="Y782" s="2"/>
      <c r="Z782" s="2"/>
    </row>
    <row r="783">
      <c r="A783" s="2" t="str">
        <f>IFERROR(__xludf.DUMMYFUNCTION("""COMPUTED_VALUE"""),"Blamerang")</f>
        <v>Blamerang</v>
      </c>
      <c r="B783" s="2"/>
      <c r="C783" s="2" t="str">
        <f>IFERROR(__xludf.DUMMYFUNCTION("""COMPUTED_VALUE"""),"Boomerang")</f>
        <v>Boomerang</v>
      </c>
      <c r="D783" s="2" t="str">
        <f>IFERROR(__xludf.DUMMYFUNCTION("""COMPUTED_VALUE"""),"Hand")</f>
        <v>Hand</v>
      </c>
      <c r="E783" s="2">
        <f>IFERROR(__xludf.DUMMYFUNCTION("""COMPUTED_VALUE"""),4400.0)</f>
        <v>4400</v>
      </c>
      <c r="F783" s="2" t="str">
        <f>IFERROR(__xludf.DUMMYFUNCTION("""COMPUTED_VALUE"""),"DMG: +20000, Fire DMG: +200000 ++Explodes when thrown at an enemy, hitting other enemies")</f>
        <v>DMG: +20000, Fire DMG: +200000 ++Explodes when thrown at an enemy, hitting other enemies</v>
      </c>
      <c r="G783" s="2">
        <f>IFERROR(__xludf.DUMMYFUNCTION("""COMPUTED_VALUE"""),9.658E8)</f>
        <v>965800000</v>
      </c>
      <c r="H783" s="2"/>
      <c r="I783" s="2"/>
      <c r="J783" s="2"/>
      <c r="K783" s="2"/>
      <c r="L783" s="2"/>
      <c r="M783" s="2"/>
      <c r="N783" s="2"/>
      <c r="O783" s="2"/>
      <c r="P783" s="2"/>
      <c r="Q783" s="2"/>
      <c r="R783" s="2"/>
      <c r="S783" s="2"/>
      <c r="T783" s="2"/>
      <c r="U783" s="2"/>
      <c r="V783" s="2"/>
      <c r="W783" s="2"/>
      <c r="X783" s="2"/>
      <c r="Y783" s="2"/>
      <c r="Z783" s="2"/>
    </row>
    <row r="784">
      <c r="A784" s="2" t="str">
        <f>IFERROR(__xludf.DUMMYFUNCTION("""COMPUTED_VALUE"""),"Condemned Bow")</f>
        <v>Condemned Bow</v>
      </c>
      <c r="B784" s="2"/>
      <c r="C784" s="2" t="str">
        <f>IFERROR(__xludf.DUMMYFUNCTION("""COMPUTED_VALUE"""),"Bow")</f>
        <v>Bow</v>
      </c>
      <c r="D784" s="2" t="str">
        <f>IFERROR(__xludf.DUMMYFUNCTION("""COMPUTED_VALUE"""),"Hand")</f>
        <v>Hand</v>
      </c>
      <c r="E784" s="2">
        <f>IFERROR(__xludf.DUMMYFUNCTION("""COMPUTED_VALUE"""),6000.0)</f>
        <v>6000</v>
      </c>
      <c r="F784" s="2" t="str">
        <f>IFERROR(__xludf.DUMMYFUNCTION("""COMPUTED_VALUE"""),"DMG: +300000 +-5% chance for the DM to take control of your turn")</f>
        <v>DMG: +300000 +-5% chance for the DM to take control of your turn</v>
      </c>
      <c r="G784" s="2">
        <f>IFERROR(__xludf.DUMMYFUNCTION("""COMPUTED_VALUE"""),1.797E9)</f>
        <v>1797000000</v>
      </c>
      <c r="H784" s="2"/>
      <c r="I784" s="2"/>
      <c r="J784" s="2"/>
      <c r="K784" s="2"/>
      <c r="L784" s="2"/>
      <c r="M784" s="2"/>
      <c r="N784" s="2"/>
      <c r="O784" s="2"/>
      <c r="P784" s="2"/>
      <c r="Q784" s="2"/>
      <c r="R784" s="2"/>
      <c r="S784" s="2"/>
      <c r="T784" s="2"/>
      <c r="U784" s="2"/>
      <c r="V784" s="2"/>
      <c r="W784" s="2"/>
      <c r="X784" s="2"/>
      <c r="Y784" s="2"/>
      <c r="Z784" s="2"/>
    </row>
    <row r="785">
      <c r="A785" s="2" t="str">
        <f>IFERROR(__xludf.DUMMYFUNCTION("""COMPUTED_VALUE"""),"Ancient Blacksmith's Soul In A Bottle")</f>
        <v>Ancient Blacksmith's Soul In A Bottle</v>
      </c>
      <c r="B785" s="2"/>
      <c r="C785" s="2" t="str">
        <f>IFERROR(__xludf.DUMMYFUNCTION("""COMPUTED_VALUE"""),"Item")</f>
        <v>Item</v>
      </c>
      <c r="D785" s="2" t="str">
        <f>IFERROR(__xludf.DUMMYFUNCTION("""COMPUTED_VALUE"""),"Neck")</f>
        <v>Neck</v>
      </c>
      <c r="E785" s="2">
        <f>IFERROR(__xludf.DUMMYFUNCTION("""COMPUTED_VALUE"""),1.0)</f>
        <v>1</v>
      </c>
      <c r="F785" s="2" t="str">
        <f>IFERROR(__xludf.DUMMYFUNCTION("""COMPUTED_VALUE""")," ++Forged Weapons deal *X damage, where X is equal to a quarter of the forge amount, if the multiplier is not a whole number, round down to the nearest whole number. X20 Max ")</f>
        <v> ++Forged Weapons deal *X damage, where X is equal to a quarter of the forge amount, if the multiplier is not a whole number, round down to the nearest whole number. X20 Max </v>
      </c>
      <c r="G785" s="2">
        <f>IFERROR(__xludf.DUMMYFUNCTION("""COMPUTED_VALUE"""),0.0)</f>
        <v>0</v>
      </c>
      <c r="H785" s="2"/>
      <c r="I785" s="2"/>
      <c r="J785" s="2"/>
      <c r="K785" s="2"/>
      <c r="L785" s="2"/>
      <c r="M785" s="2"/>
      <c r="N785" s="2"/>
      <c r="O785" s="2"/>
      <c r="P785" s="2"/>
      <c r="Q785" s="2"/>
      <c r="R785" s="2"/>
      <c r="S785" s="2"/>
      <c r="T785" s="2"/>
      <c r="U785" s="2"/>
      <c r="V785" s="2"/>
      <c r="W785" s="2"/>
      <c r="X785" s="2"/>
      <c r="Y785" s="2"/>
      <c r="Z785" s="2"/>
    </row>
    <row r="786">
      <c r="A786" s="2" t="str">
        <f>IFERROR(__xludf.DUMMYFUNCTION("""COMPUTED_VALUE"""),"Ancient Breeder's Soul In A Bottle")</f>
        <v>Ancient Breeder's Soul In A Bottle</v>
      </c>
      <c r="B786" s="2"/>
      <c r="C786" s="2" t="str">
        <f>IFERROR(__xludf.DUMMYFUNCTION("""COMPUTED_VALUE"""),"Item")</f>
        <v>Item</v>
      </c>
      <c r="D786" s="2" t="str">
        <f>IFERROR(__xludf.DUMMYFUNCTION("""COMPUTED_VALUE"""),"Neck")</f>
        <v>Neck</v>
      </c>
      <c r="E786" s="2">
        <f>IFERROR(__xludf.DUMMYFUNCTION("""COMPUTED_VALUE"""),1.0)</f>
        <v>1</v>
      </c>
      <c r="F786" s="2" t="str">
        <f>IFERROR(__xludf.DUMMYFUNCTION("""COMPUTED_VALUE""")," ++All creatures hatched from an egg deal X5 damage of all types.")</f>
        <v> ++All creatures hatched from an egg deal X5 damage of all types.</v>
      </c>
      <c r="G786" s="2">
        <f>IFERROR(__xludf.DUMMYFUNCTION("""COMPUTED_VALUE"""),0.0)</f>
        <v>0</v>
      </c>
      <c r="H786" s="2"/>
      <c r="I786" s="2"/>
      <c r="J786" s="2"/>
      <c r="K786" s="2"/>
      <c r="L786" s="2"/>
      <c r="M786" s="2"/>
      <c r="N786" s="2"/>
      <c r="O786" s="2"/>
      <c r="P786" s="2"/>
      <c r="Q786" s="2"/>
      <c r="R786" s="2"/>
      <c r="S786" s="2"/>
      <c r="T786" s="2"/>
      <c r="U786" s="2"/>
      <c r="V786" s="2"/>
      <c r="W786" s="2"/>
      <c r="X786" s="2"/>
      <c r="Y786" s="2"/>
      <c r="Z786" s="2"/>
    </row>
    <row r="787">
      <c r="A787" s="2" t="str">
        <f>IFERROR(__xludf.DUMMYFUNCTION("""COMPUTED_VALUE"""),"Ancient Crafter's Soul In A Bottle")</f>
        <v>Ancient Crafter's Soul In A Bottle</v>
      </c>
      <c r="B787" s="2"/>
      <c r="C787" s="2" t="str">
        <f>IFERROR(__xludf.DUMMYFUNCTION("""COMPUTED_VALUE"""),"Item")</f>
        <v>Item</v>
      </c>
      <c r="D787" s="2" t="str">
        <f>IFERROR(__xludf.DUMMYFUNCTION("""COMPUTED_VALUE"""),"Neck")</f>
        <v>Neck</v>
      </c>
      <c r="E787" s="2">
        <f>IFERROR(__xludf.DUMMYFUNCTION("""COMPUTED_VALUE"""),1.0)</f>
        <v>1</v>
      </c>
      <c r="F787" s="2" t="str">
        <f>IFERROR(__xludf.DUMMYFUNCTION("""COMPUTED_VALUE""")," ++Triples all crafting materials gathered")</f>
        <v> ++Triples all crafting materials gathered</v>
      </c>
      <c r="G787" s="2">
        <f>IFERROR(__xludf.DUMMYFUNCTION("""COMPUTED_VALUE"""),0.0)</f>
        <v>0</v>
      </c>
      <c r="H787" s="2"/>
      <c r="I787" s="2"/>
      <c r="J787" s="2"/>
      <c r="K787" s="2"/>
      <c r="L787" s="2"/>
      <c r="M787" s="2"/>
      <c r="N787" s="2"/>
      <c r="O787" s="2"/>
      <c r="P787" s="2"/>
      <c r="Q787" s="2"/>
      <c r="R787" s="2"/>
      <c r="S787" s="2"/>
      <c r="T787" s="2"/>
      <c r="U787" s="2"/>
      <c r="V787" s="2"/>
      <c r="W787" s="2"/>
      <c r="X787" s="2"/>
      <c r="Y787" s="2"/>
      <c r="Z787" s="2"/>
    </row>
    <row r="788">
      <c r="A788" s="2" t="str">
        <f>IFERROR(__xludf.DUMMYFUNCTION("""COMPUTED_VALUE"""),"Ancient Alchemist's Soul In A Bottle")</f>
        <v>Ancient Alchemist's Soul In A Bottle</v>
      </c>
      <c r="B788" s="2"/>
      <c r="C788" s="2" t="str">
        <f>IFERROR(__xludf.DUMMYFUNCTION("""COMPUTED_VALUE"""),"Item")</f>
        <v>Item</v>
      </c>
      <c r="D788" s="2" t="str">
        <f>IFERROR(__xludf.DUMMYFUNCTION("""COMPUTED_VALUE"""),"Neck")</f>
        <v>Neck</v>
      </c>
      <c r="E788" s="2">
        <f>IFERROR(__xludf.DUMMYFUNCTION("""COMPUTED_VALUE"""),1.0)</f>
        <v>1</v>
      </c>
      <c r="F788" s="2" t="str">
        <f>IFERROR(__xludf.DUMMYFUNCTION("""COMPUTED_VALUE""")," ++Doubles the effect of all herbs and potions")</f>
        <v> ++Doubles the effect of all herbs and potions</v>
      </c>
      <c r="G788" s="2">
        <f>IFERROR(__xludf.DUMMYFUNCTION("""COMPUTED_VALUE"""),0.0)</f>
        <v>0</v>
      </c>
      <c r="H788" s="2"/>
      <c r="I788" s="2"/>
      <c r="J788" s="2"/>
      <c r="K788" s="2"/>
      <c r="L788" s="2"/>
      <c r="M788" s="2"/>
      <c r="N788" s="2"/>
      <c r="O788" s="2"/>
      <c r="P788" s="2"/>
      <c r="Q788" s="2"/>
      <c r="R788" s="2"/>
      <c r="S788" s="2"/>
      <c r="T788" s="2"/>
      <c r="U788" s="2"/>
      <c r="V788" s="2"/>
      <c r="W788" s="2"/>
      <c r="X788" s="2"/>
      <c r="Y788" s="2"/>
      <c r="Z788" s="2"/>
    </row>
    <row r="789">
      <c r="A789" s="2" t="str">
        <f>IFERROR(__xludf.DUMMYFUNCTION("""COMPUTED_VALUE"""),"Ancient Farmer's Soul In A Bottle")</f>
        <v>Ancient Farmer's Soul In A Bottle</v>
      </c>
      <c r="B789" s="2"/>
      <c r="C789" s="2" t="str">
        <f>IFERROR(__xludf.DUMMYFUNCTION("""COMPUTED_VALUE"""),"Item")</f>
        <v>Item</v>
      </c>
      <c r="D789" s="2" t="str">
        <f>IFERROR(__xludf.DUMMYFUNCTION("""COMPUTED_VALUE"""),"Neck")</f>
        <v>Neck</v>
      </c>
      <c r="E789" s="2">
        <f>IFERROR(__xludf.DUMMYFUNCTION("""COMPUTED_VALUE"""),1.0)</f>
        <v>1</v>
      </c>
      <c r="F789" s="2" t="str">
        <f>IFERROR(__xludf.DUMMYFUNCTION("""COMPUTED_VALUE""")," ++Doubles all items harvested from your farms")</f>
        <v> ++Doubles all items harvested from your farms</v>
      </c>
      <c r="G789" s="2">
        <f>IFERROR(__xludf.DUMMYFUNCTION("""COMPUTED_VALUE"""),0.0)</f>
        <v>0</v>
      </c>
      <c r="H789" s="2"/>
      <c r="I789" s="2"/>
      <c r="J789" s="2"/>
      <c r="K789" s="2"/>
      <c r="L789" s="2"/>
      <c r="M789" s="2"/>
      <c r="N789" s="2"/>
      <c r="O789" s="2"/>
      <c r="P789" s="2"/>
      <c r="Q789" s="2"/>
      <c r="R789" s="2"/>
      <c r="S789" s="2"/>
      <c r="T789" s="2"/>
      <c r="U789" s="2"/>
      <c r="V789" s="2"/>
      <c r="W789" s="2"/>
      <c r="X789" s="2"/>
      <c r="Y789" s="2"/>
      <c r="Z789" s="2"/>
    </row>
    <row r="790">
      <c r="A790" s="2" t="str">
        <f>IFERROR(__xludf.DUMMYFUNCTION("""COMPUTED_VALUE"""),"Ancient Chef's Soul In A Bottle")</f>
        <v>Ancient Chef's Soul In A Bottle</v>
      </c>
      <c r="B790" s="2"/>
      <c r="C790" s="2" t="str">
        <f>IFERROR(__xludf.DUMMYFUNCTION("""COMPUTED_VALUE"""),"Item")</f>
        <v>Item</v>
      </c>
      <c r="D790" s="2" t="str">
        <f>IFERROR(__xludf.DUMMYFUNCTION("""COMPUTED_VALUE"""),"Neck")</f>
        <v>Neck</v>
      </c>
      <c r="E790" s="2">
        <f>IFERROR(__xludf.DUMMYFUNCTION("""COMPUTED_VALUE"""),1.0)</f>
        <v>1</v>
      </c>
      <c r="F790" s="2" t="str">
        <f>IFERROR(__xludf.DUMMYFUNCTION("""COMPUTED_VALUE""")," ++Doubles the effect of all food items cooked")</f>
        <v> ++Doubles the effect of all food items cooked</v>
      </c>
      <c r="G790" s="2">
        <f>IFERROR(__xludf.DUMMYFUNCTION("""COMPUTED_VALUE"""),0.0)</f>
        <v>0</v>
      </c>
      <c r="H790" s="2"/>
      <c r="I790" s="2"/>
      <c r="J790" s="2"/>
      <c r="K790" s="2"/>
      <c r="L790" s="2"/>
      <c r="M790" s="2"/>
      <c r="N790" s="2"/>
      <c r="O790" s="2"/>
      <c r="P790" s="2"/>
      <c r="Q790" s="2"/>
      <c r="R790" s="2"/>
      <c r="S790" s="2"/>
      <c r="T790" s="2"/>
      <c r="U790" s="2"/>
      <c r="V790" s="2"/>
      <c r="W790" s="2"/>
      <c r="X790" s="2"/>
      <c r="Y790" s="2"/>
      <c r="Z790" s="2"/>
    </row>
    <row r="791">
      <c r="A791" s="2" t="str">
        <f>IFERROR(__xludf.DUMMYFUNCTION("""COMPUTED_VALUE"""),"Ancient Miner's Soul In A Bottle")</f>
        <v>Ancient Miner's Soul In A Bottle</v>
      </c>
      <c r="B791" s="2"/>
      <c r="C791" s="2" t="str">
        <f>IFERROR(__xludf.DUMMYFUNCTION("""COMPUTED_VALUE"""),"Item")</f>
        <v>Item</v>
      </c>
      <c r="D791" s="2" t="str">
        <f>IFERROR(__xludf.DUMMYFUNCTION("""COMPUTED_VALUE"""),"Neck")</f>
        <v>Neck</v>
      </c>
      <c r="E791" s="2">
        <f>IFERROR(__xludf.DUMMYFUNCTION("""COMPUTED_VALUE"""),1.0)</f>
        <v>1</v>
      </c>
      <c r="F791" s="2" t="str">
        <f>IFERROR(__xludf.DUMMYFUNCTION("""COMPUTED_VALUE""")," ++Doubles all minerals obtained while mining")</f>
        <v> ++Doubles all minerals obtained while mining</v>
      </c>
      <c r="G791" s="2">
        <f>IFERROR(__xludf.DUMMYFUNCTION("""COMPUTED_VALUE"""),0.0)</f>
        <v>0</v>
      </c>
      <c r="H791" s="2"/>
      <c r="I791" s="2"/>
      <c r="J791" s="2"/>
      <c r="K791" s="2"/>
      <c r="L791" s="2"/>
      <c r="M791" s="2"/>
      <c r="N791" s="2"/>
      <c r="O791" s="2"/>
      <c r="P791" s="2"/>
      <c r="Q791" s="2"/>
      <c r="R791" s="2"/>
      <c r="S791" s="2"/>
      <c r="T791" s="2"/>
      <c r="U791" s="2"/>
      <c r="V791" s="2"/>
      <c r="W791" s="2"/>
      <c r="X791" s="2"/>
      <c r="Y791" s="2"/>
      <c r="Z791" s="2"/>
    </row>
    <row r="792">
      <c r="A792" s="2" t="str">
        <f>IFERROR(__xludf.DUMMYFUNCTION("""COMPUTED_VALUE"""),"Ancient Spira Guard's Soul In A Bottle")</f>
        <v>Ancient Spira Guard's Soul In A Bottle</v>
      </c>
      <c r="B792" s="2"/>
      <c r="C792" s="2" t="str">
        <f>IFERROR(__xludf.DUMMYFUNCTION("""COMPUTED_VALUE"""),"Item")</f>
        <v>Item</v>
      </c>
      <c r="D792" s="2" t="str">
        <f>IFERROR(__xludf.DUMMYFUNCTION("""COMPUTED_VALUE"""),"Neck")</f>
        <v>Neck</v>
      </c>
      <c r="E792" s="2">
        <f>IFERROR(__xludf.DUMMYFUNCTION("""COMPUTED_VALUE"""),1.0)</f>
        <v>1</v>
      </c>
      <c r="F792" s="2" t="str">
        <f>IFERROR(__xludf.DUMMYFUNCTION("""COMPUTED_VALUE""")," ++Add +5 to all rolls to arrest")</f>
        <v> ++Add +5 to all rolls to arrest</v>
      </c>
      <c r="G792" s="2">
        <f>IFERROR(__xludf.DUMMYFUNCTION("""COMPUTED_VALUE"""),0.0)</f>
        <v>0</v>
      </c>
      <c r="H792" s="2"/>
      <c r="I792" s="2"/>
      <c r="J792" s="2"/>
      <c r="K792" s="2"/>
      <c r="L792" s="2"/>
      <c r="M792" s="2"/>
      <c r="N792" s="2"/>
      <c r="O792" s="2"/>
      <c r="P792" s="2"/>
      <c r="Q792" s="2"/>
      <c r="R792" s="2"/>
      <c r="S792" s="2"/>
      <c r="T792" s="2"/>
      <c r="U792" s="2"/>
      <c r="V792" s="2"/>
      <c r="W792" s="2"/>
      <c r="X792" s="2"/>
      <c r="Y792" s="2"/>
      <c r="Z792" s="2"/>
    </row>
    <row r="793">
      <c r="A793" s="2" t="str">
        <f>IFERROR(__xludf.DUMMYFUNCTION("""COMPUTED_VALUE"""),"Ancient Fisherman's Soul In A Bottle")</f>
        <v>Ancient Fisherman's Soul In A Bottle</v>
      </c>
      <c r="B793" s="2"/>
      <c r="C793" s="2" t="str">
        <f>IFERROR(__xludf.DUMMYFUNCTION("""COMPUTED_VALUE"""),"Item")</f>
        <v>Item</v>
      </c>
      <c r="D793" s="2" t="str">
        <f>IFERROR(__xludf.DUMMYFUNCTION("""COMPUTED_VALUE"""),"Neck")</f>
        <v>Neck</v>
      </c>
      <c r="E793" s="2">
        <f>IFERROR(__xludf.DUMMYFUNCTION("""COMPUTED_VALUE"""),1.0)</f>
        <v>1</v>
      </c>
      <c r="F793" s="2" t="str">
        <f>IFERROR(__xludf.DUMMYFUNCTION("""COMPUTED_VALUE""")," ++Doubles all fish obtained while fishing")</f>
        <v> ++Doubles all fish obtained while fishing</v>
      </c>
      <c r="G793" s="2">
        <f>IFERROR(__xludf.DUMMYFUNCTION("""COMPUTED_VALUE"""),0.0)</f>
        <v>0</v>
      </c>
      <c r="H793" s="2"/>
      <c r="I793" s="2"/>
      <c r="J793" s="2"/>
      <c r="K793" s="2"/>
      <c r="L793" s="2"/>
      <c r="M793" s="2"/>
      <c r="N793" s="2"/>
      <c r="O793" s="2"/>
      <c r="P793" s="2"/>
      <c r="Q793" s="2"/>
      <c r="R793" s="2"/>
      <c r="S793" s="2"/>
      <c r="T793" s="2"/>
      <c r="U793" s="2"/>
      <c r="V793" s="2"/>
      <c r="W793" s="2"/>
      <c r="X793" s="2"/>
      <c r="Y793" s="2"/>
      <c r="Z793" s="2"/>
    </row>
    <row r="794">
      <c r="A794" s="2" t="str">
        <f>IFERROR(__xludf.DUMMYFUNCTION("""COMPUTED_VALUE"""),"The Thumper")</f>
        <v>The Thumper</v>
      </c>
      <c r="B794" s="2"/>
      <c r="C794" s="2" t="str">
        <f>IFERROR(__xludf.DUMMYFUNCTION("""COMPUTED_VALUE"""),"Firearm")</f>
        <v>Firearm</v>
      </c>
      <c r="D794" s="2" t="str">
        <f>IFERROR(__xludf.DUMMYFUNCTION("""COMPUTED_VALUE"""),"Hand")</f>
        <v>Hand</v>
      </c>
      <c r="E794" s="2">
        <f>IFERROR(__xludf.DUMMYFUNCTION("""COMPUTED_VALUE"""),200.0)</f>
        <v>200</v>
      </c>
      <c r="F794" s="2" t="str">
        <f>IFERROR(__xludf.DUMMYFUNCTION("""COMPUTED_VALUE"""),"Dmg: +5000, Physical Dmg: +5000 ++Fires 3 Grenades, +-Uses Grenades as Ammo +-Cannot Be Forged or Duplicated")</f>
        <v>Dmg: +5000, Physical Dmg: +5000 ++Fires 3 Grenades, +-Uses Grenades as Ammo +-Cannot Be Forged or Duplicated</v>
      </c>
      <c r="G794" s="2">
        <f>IFERROR(__xludf.DUMMYFUNCTION("""COMPUTED_VALUE"""),1900000.0)</f>
        <v>1900000</v>
      </c>
      <c r="H794" s="2"/>
      <c r="I794" s="2"/>
      <c r="J794" s="2"/>
      <c r="K794" s="2"/>
      <c r="L794" s="2"/>
      <c r="M794" s="2"/>
      <c r="N794" s="2"/>
      <c r="O794" s="2"/>
      <c r="P794" s="2"/>
      <c r="Q794" s="2"/>
      <c r="R794" s="2"/>
      <c r="S794" s="2"/>
      <c r="T794" s="2"/>
      <c r="U794" s="2"/>
      <c r="V794" s="2"/>
      <c r="W794" s="2"/>
      <c r="X794" s="2"/>
      <c r="Y794" s="2"/>
      <c r="Z794" s="2"/>
    </row>
    <row r="795">
      <c r="A795" s="2" t="str">
        <f>IFERROR(__xludf.DUMMYFUNCTION("""COMPUTED_VALUE"""),"Undead King's Sword")</f>
        <v>Undead King's Sword</v>
      </c>
      <c r="B795" s="2"/>
      <c r="C795" s="2" t="str">
        <f>IFERROR(__xludf.DUMMYFUNCTION("""COMPUTED_VALUE"""),"Sword")</f>
        <v>Sword</v>
      </c>
      <c r="D795" s="2" t="str">
        <f>IFERROR(__xludf.DUMMYFUNCTION("""COMPUTED_VALUE"""),"Hand")</f>
        <v>Hand</v>
      </c>
      <c r="E795" s="2">
        <f>IFERROR(__xludf.DUMMYFUNCTION("""COMPUTED_VALUE"""),1.0)</f>
        <v>1</v>
      </c>
      <c r="F795" s="2"/>
      <c r="G795" s="2">
        <f>IFERROR(__xludf.DUMMYFUNCTION("""COMPUTED_VALUE"""),0.0)</f>
        <v>0</v>
      </c>
      <c r="H795" s="2"/>
      <c r="I795" s="2"/>
      <c r="J795" s="2"/>
      <c r="K795" s="2"/>
      <c r="L795" s="2"/>
      <c r="M795" s="2"/>
      <c r="N795" s="2"/>
      <c r="O795" s="2"/>
      <c r="P795" s="2"/>
      <c r="Q795" s="2"/>
      <c r="R795" s="2"/>
      <c r="S795" s="2"/>
      <c r="T795" s="2"/>
      <c r="U795" s="2"/>
      <c r="V795" s="2"/>
      <c r="W795" s="2"/>
      <c r="X795" s="2"/>
      <c r="Y795" s="2"/>
      <c r="Z795" s="2"/>
    </row>
    <row r="796">
      <c r="A796" s="2" t="str">
        <f>IFERROR(__xludf.DUMMYFUNCTION("""COMPUTED_VALUE"""),"Trapper's Monocle")</f>
        <v>Trapper's Monocle</v>
      </c>
      <c r="B796" s="2"/>
      <c r="C796" s="2" t="str">
        <f>IFERROR(__xludf.DUMMYFUNCTION("""COMPUTED_VALUE"""),"Item")</f>
        <v>Item</v>
      </c>
      <c r="D796" s="2" t="str">
        <f>IFERROR(__xludf.DUMMYFUNCTION("""COMPUTED_VALUE"""),"Head")</f>
        <v>Head</v>
      </c>
      <c r="E796" s="2">
        <f>IFERROR(__xludf.DUMMYFUNCTION("""COMPUTED_VALUE"""),1.0)</f>
        <v>1</v>
      </c>
      <c r="F796" s="2" t="str">
        <f>IFERROR(__xludf.DUMMYFUNCTION("""COMPUTED_VALUE""")," ++5 to any roll to disarm or avoid a trap.")</f>
        <v> ++5 to any roll to disarm or avoid a trap.</v>
      </c>
      <c r="G796" s="2">
        <f>IFERROR(__xludf.DUMMYFUNCTION("""COMPUTED_VALUE"""),0.0)</f>
        <v>0</v>
      </c>
      <c r="H796" s="2"/>
      <c r="I796" s="2"/>
      <c r="J796" s="2"/>
      <c r="K796" s="2"/>
      <c r="L796" s="2"/>
      <c r="M796" s="2"/>
      <c r="N796" s="2"/>
      <c r="O796" s="2"/>
      <c r="P796" s="2"/>
      <c r="Q796" s="2"/>
      <c r="R796" s="2"/>
      <c r="S796" s="2"/>
      <c r="T796" s="2"/>
      <c r="U796" s="2"/>
      <c r="V796" s="2"/>
      <c r="W796" s="2"/>
      <c r="X796" s="2"/>
      <c r="Y796" s="2"/>
      <c r="Z796" s="2"/>
    </row>
    <row r="797">
      <c r="A797" s="2" t="str">
        <f>IFERROR(__xludf.DUMMYFUNCTION("""COMPUTED_VALUE"""),"Dragon's Dogma")</f>
        <v>Dragon's Dogma</v>
      </c>
      <c r="B797" s="2"/>
      <c r="C797" s="2" t="str">
        <f>IFERROR(__xludf.DUMMYFUNCTION("""COMPUTED_VALUE"""),"Sword")</f>
        <v>Sword</v>
      </c>
      <c r="D797" s="2" t="str">
        <f>IFERROR(__xludf.DUMMYFUNCTION("""COMPUTED_VALUE"""),"Hand")</f>
        <v>Hand</v>
      </c>
      <c r="E797" s="2">
        <f>IFERROR(__xludf.DUMMYFUNCTION("""COMPUTED_VALUE"""),200.0)</f>
        <v>200</v>
      </c>
      <c r="F797" s="2" t="str">
        <f>IFERROR(__xludf.DUMMYFUNCTION("""COMPUTED_VALUE"""),"DMG: +250000, Celestial DMG: +50000 TBD")</f>
        <v>DMG: +250000, Celestial DMG: +50000 TBD</v>
      </c>
      <c r="G797" s="2">
        <f>IFERROR(__xludf.DUMMYFUNCTION("""COMPUTED_VALUE"""),1.797E9)</f>
        <v>1797000000</v>
      </c>
      <c r="H797" s="2"/>
      <c r="I797" s="2"/>
      <c r="J797" s="2"/>
      <c r="K797" s="2"/>
      <c r="L797" s="2"/>
      <c r="M797" s="2"/>
      <c r="N797" s="2"/>
      <c r="O797" s="2"/>
      <c r="P797" s="2"/>
      <c r="Q797" s="2"/>
      <c r="R797" s="2"/>
      <c r="S797" s="2"/>
      <c r="T797" s="2"/>
      <c r="U797" s="2"/>
      <c r="V797" s="2"/>
      <c r="W797" s="2"/>
      <c r="X797" s="2"/>
      <c r="Y797" s="2"/>
      <c r="Z797" s="2"/>
    </row>
    <row r="798">
      <c r="A798" s="2" t="str">
        <f>IFERROR(__xludf.DUMMYFUNCTION("""COMPUTED_VALUE"""),"Dragon's Dread")</f>
        <v>Dragon's Dread</v>
      </c>
      <c r="B798" s="2"/>
      <c r="C798" s="2" t="str">
        <f>IFERROR(__xludf.DUMMYFUNCTION("""COMPUTED_VALUE"""),"Bow")</f>
        <v>Bow</v>
      </c>
      <c r="D798" s="2" t="str">
        <f>IFERROR(__xludf.DUMMYFUNCTION("""COMPUTED_VALUE"""),"Hand")</f>
        <v>Hand</v>
      </c>
      <c r="E798" s="2">
        <f>IFERROR(__xludf.DUMMYFUNCTION("""COMPUTED_VALUE"""),200.0)</f>
        <v>200</v>
      </c>
      <c r="F798" s="2" t="str">
        <f>IFERROR(__xludf.DUMMYFUNCTION("""COMPUTED_VALUE"""),"DMG: +50000, Fire DMG: +50000, Water DMG: +50000, Storm DMG: +50000, Earth DMG: +50000, Light DMG: +50000, Dark DMG: +50000, Order DMG: +50000, Chaos DMG: +50000, Nature DMG: +50000, Delta DMG: +50000, Celestial DMG: +50000 TBD")</f>
        <v>DMG: +50000, Fire DMG: +50000, Water DMG: +50000, Storm DMG: +50000, Earth DMG: +50000, Light DMG: +50000, Dark DMG: +50000, Order DMG: +50000, Chaos DMG: +50000, Nature DMG: +50000, Delta DMG: +50000, Celestial DMG: +50000 TBD</v>
      </c>
      <c r="G798" s="2">
        <f>IFERROR(__xludf.DUMMYFUNCTION("""COMPUTED_VALUE"""),7.194E9)</f>
        <v>7194000000</v>
      </c>
      <c r="H798" s="2"/>
      <c r="I798" s="2"/>
      <c r="J798" s="2"/>
      <c r="K798" s="2"/>
      <c r="L798" s="2"/>
      <c r="M798" s="2"/>
      <c r="N798" s="2"/>
      <c r="O798" s="2"/>
      <c r="P798" s="2"/>
      <c r="Q798" s="2"/>
      <c r="R798" s="2"/>
      <c r="S798" s="2"/>
      <c r="T798" s="2"/>
      <c r="U798" s="2"/>
      <c r="V798" s="2"/>
      <c r="W798" s="2"/>
      <c r="X798" s="2"/>
      <c r="Y798" s="2"/>
      <c r="Z798" s="2"/>
    </row>
    <row r="799">
      <c r="A799" s="2" t="str">
        <f>IFERROR(__xludf.DUMMYFUNCTION("""COMPUTED_VALUE"""),"Dragon's Dream Breaker")</f>
        <v>Dragon's Dream Breaker</v>
      </c>
      <c r="B799" s="2"/>
      <c r="C799" s="2" t="str">
        <f>IFERROR(__xludf.DUMMYFUNCTION("""COMPUTED_VALUE"""),"Claw")</f>
        <v>Claw</v>
      </c>
      <c r="D799" s="2" t="str">
        <f>IFERROR(__xludf.DUMMYFUNCTION("""COMPUTED_VALUE"""),"Hand")</f>
        <v>Hand</v>
      </c>
      <c r="E799" s="2">
        <f>IFERROR(__xludf.DUMMYFUNCTION("""COMPUTED_VALUE"""),200.0)</f>
        <v>200</v>
      </c>
      <c r="F799" s="2" t="str">
        <f>IFERROR(__xludf.DUMMYFUNCTION("""COMPUTED_VALUE"""),"DMG: +600000, Celestial DMG: +600000 TBD")</f>
        <v>DMG: +600000, Celestial DMG: +600000 TBD</v>
      </c>
      <c r="G799" s="2">
        <f>IFERROR(__xludf.DUMMYFUNCTION("""COMPUTED_VALUE"""),2.8788E10)</f>
        <v>28788000000</v>
      </c>
      <c r="H799" s="2"/>
      <c r="I799" s="2"/>
      <c r="J799" s="2"/>
      <c r="K799" s="2"/>
      <c r="L799" s="2"/>
      <c r="M799" s="2"/>
      <c r="N799" s="2"/>
      <c r="O799" s="2"/>
      <c r="P799" s="2"/>
      <c r="Q799" s="2"/>
      <c r="R799" s="2"/>
      <c r="S799" s="2"/>
      <c r="T799" s="2"/>
      <c r="U799" s="2"/>
      <c r="V799" s="2"/>
      <c r="W799" s="2"/>
      <c r="X799" s="2"/>
      <c r="Y799" s="2"/>
      <c r="Z799" s="2"/>
    </row>
    <row r="800">
      <c r="A800" s="2" t="str">
        <f>IFERROR(__xludf.DUMMYFUNCTION("""COMPUTED_VALUE"""),"Dragon's Draught")</f>
        <v>Dragon's Draught</v>
      </c>
      <c r="B800" s="2"/>
      <c r="C800" s="2" t="str">
        <f>IFERROR(__xludf.DUMMYFUNCTION("""COMPUTED_VALUE"""),"Staff")</f>
        <v>Staff</v>
      </c>
      <c r="D800" s="2" t="str">
        <f>IFERROR(__xludf.DUMMYFUNCTION("""COMPUTED_VALUE"""),"Hand")</f>
        <v>Hand</v>
      </c>
      <c r="E800" s="2">
        <f>IFERROR(__xludf.DUMMYFUNCTION("""COMPUTED_VALUE"""),1.0)</f>
        <v>1</v>
      </c>
      <c r="F800" s="2" t="str">
        <f>IFERROR(__xludf.DUMMYFUNCTION("""COMPUTED_VALUE""")," TBD")</f>
        <v> TBD</v>
      </c>
      <c r="G800" s="2">
        <f>IFERROR(__xludf.DUMMYFUNCTION("""COMPUTED_VALUE"""),0.0)</f>
        <v>0</v>
      </c>
      <c r="H800" s="2"/>
      <c r="I800" s="2"/>
      <c r="J800" s="2"/>
      <c r="K800" s="2"/>
      <c r="L800" s="2"/>
      <c r="M800" s="2"/>
      <c r="N800" s="2"/>
      <c r="O800" s="2"/>
      <c r="P800" s="2"/>
      <c r="Q800" s="2"/>
      <c r="R800" s="2"/>
      <c r="S800" s="2"/>
      <c r="T800" s="2"/>
      <c r="U800" s="2"/>
      <c r="V800" s="2"/>
      <c r="W800" s="2"/>
      <c r="X800" s="2"/>
      <c r="Y800" s="2"/>
      <c r="Z800" s="2"/>
    </row>
    <row r="801">
      <c r="A801" s="2" t="str">
        <f>IFERROR(__xludf.DUMMYFUNCTION("""COMPUTED_VALUE"""),"Dragon's Damnation")</f>
        <v>Dragon's Damnation</v>
      </c>
      <c r="B801" s="2"/>
      <c r="C801" s="2" t="str">
        <f>IFERROR(__xludf.DUMMYFUNCTION("""COMPUTED_VALUE"""),"Gauntlet")</f>
        <v>Gauntlet</v>
      </c>
      <c r="D801" s="2" t="str">
        <f>IFERROR(__xludf.DUMMYFUNCTION("""COMPUTED_VALUE"""),"Hand")</f>
        <v>Hand</v>
      </c>
      <c r="E801" s="2">
        <f>IFERROR(__xludf.DUMMYFUNCTION("""COMPUTED_VALUE"""),200.0)</f>
        <v>200</v>
      </c>
      <c r="F801" s="2" t="str">
        <f>IFERROR(__xludf.DUMMYFUNCTION("""COMPUTED_VALUE"""),"DEF: +100000, Fire DEF: +100000, Water DEF: +100000, Storm DEF: +100000, Earth DEF: +100000, Light DEF: +100000, Dark DEF: +100000, Order DEF: +100000, Chaos DEF: +100000, Nature DEF: +100000, Delta DEF: +100000, Celestial DEF: +100000 TBD")</f>
        <v>DEF: +100000, Fire DEF: +100000, Water DEF: +100000, Storm DEF: +100000, Earth DEF: +100000, Light DEF: +100000, Dark DEF: +100000, Order DEF: +100000, Chaos DEF: +100000, Nature DEF: +100000, Delta DEF: +100000, Celestial DEF: +100000 TBD</v>
      </c>
      <c r="G801" s="2">
        <f>IFERROR(__xludf.DUMMYFUNCTION("""COMPUTED_VALUE"""),2.8788E10)</f>
        <v>28788000000</v>
      </c>
      <c r="H801" s="2"/>
      <c r="I801" s="2"/>
      <c r="J801" s="2"/>
      <c r="K801" s="2"/>
      <c r="L801" s="2"/>
      <c r="M801" s="2"/>
      <c r="N801" s="2"/>
      <c r="O801" s="2"/>
      <c r="P801" s="2"/>
      <c r="Q801" s="2"/>
      <c r="R801" s="2"/>
      <c r="S801" s="2"/>
      <c r="T801" s="2"/>
      <c r="U801" s="2"/>
      <c r="V801" s="2"/>
      <c r="W801" s="2"/>
      <c r="X801" s="2"/>
      <c r="Y801" s="2"/>
      <c r="Z801" s="2"/>
    </row>
    <row r="802">
      <c r="A802" s="2" t="str">
        <f>IFERROR(__xludf.DUMMYFUNCTION("""COMPUTED_VALUE"""),"Dragon's Destruction")</f>
        <v>Dragon's Destruction</v>
      </c>
      <c r="B802" s="2"/>
      <c r="C802" s="2" t="str">
        <f>IFERROR(__xludf.DUMMYFUNCTION("""COMPUTED_VALUE"""),"Spear")</f>
        <v>Spear</v>
      </c>
      <c r="D802" s="2" t="str">
        <f>IFERROR(__xludf.DUMMYFUNCTION("""COMPUTED_VALUE"""),"Hand")</f>
        <v>Hand</v>
      </c>
      <c r="E802" s="2">
        <f>IFERROR(__xludf.DUMMYFUNCTION("""COMPUTED_VALUE"""),200.0)</f>
        <v>200</v>
      </c>
      <c r="F802" s="2" t="str">
        <f>IFERROR(__xludf.DUMMYFUNCTION("""COMPUTED_VALUE"""),"DMG: +400000, Fire DMG: +100000, Water DMG: +100000, Storm DMG: +100000, Earth DMG: +100000, Light DMG: +150000, Dark DMG: +150000, Spirit DMG: +100000, Order DMG: +150000, Chaos DMG: +150000, Nature DMG: +100000, Voodoo DMG: +100000, Blood DMG: +100000, "&amp;"Delta DMG: +100000, Zen DMG: +100000, Time DMG: +100000, Astral DMG: +100000, Celestial DMG: +100000, Acoustic DMG: +100000 TBD")</f>
        <v>DMG: +400000, Fire DMG: +100000, Water DMG: +100000, Storm DMG: +100000, Earth DMG: +100000, Light DMG: +150000, Dark DMG: +150000, Spirit DMG: +100000, Order DMG: +150000, Chaos DMG: +150000, Nature DMG: +100000, Voodoo DMG: +100000, Blood DMG: +100000, Delta DMG: +100000, Zen DMG: +100000, Time DMG: +100000, Astral DMG: +100000, Celestial DMG: +100000, Acoustic DMG: +100000 TBD</v>
      </c>
      <c r="G802" s="2">
        <f>IFERROR(__xludf.DUMMYFUNCTION("""COMPUTED_VALUE"""),2.8788E10)</f>
        <v>28788000000</v>
      </c>
      <c r="H802" s="2"/>
      <c r="I802" s="2"/>
      <c r="J802" s="2"/>
      <c r="K802" s="2"/>
      <c r="L802" s="2"/>
      <c r="M802" s="2"/>
      <c r="N802" s="2"/>
      <c r="O802" s="2"/>
      <c r="P802" s="2"/>
      <c r="Q802" s="2"/>
      <c r="R802" s="2"/>
      <c r="S802" s="2"/>
      <c r="T802" s="2"/>
      <c r="U802" s="2"/>
      <c r="V802" s="2"/>
      <c r="W802" s="2"/>
      <c r="X802" s="2"/>
      <c r="Y802" s="2"/>
      <c r="Z802" s="2"/>
    </row>
    <row r="803">
      <c r="A803" s="2" t="str">
        <f>IFERROR(__xludf.DUMMYFUNCTION("""COMPUTED_VALUE"""),"Confining Collar")</f>
        <v>Confining Collar</v>
      </c>
      <c r="B803" s="2" t="str">
        <f>IFERROR(__xludf.DUMMYFUNCTION("""COMPUTED_VALUE"""),"A cursed collar found around the neck of the Dragonscale dungeon inmates, it slowly stangulates the wearer until they die.")</f>
        <v>A cursed collar found around the neck of the Dragonscale dungeon inmates, it slowly stangulates the wearer until they die.</v>
      </c>
      <c r="C803" s="2" t="str">
        <f>IFERROR(__xludf.DUMMYFUNCTION("""COMPUTED_VALUE"""),"Item")</f>
        <v>Item</v>
      </c>
      <c r="D803" s="2" t="str">
        <f>IFERROR(__xludf.DUMMYFUNCTION("""COMPUTED_VALUE"""),"Neck")</f>
        <v>Neck</v>
      </c>
      <c r="E803" s="2">
        <f>IFERROR(__xludf.DUMMYFUNCTION("""COMPUTED_VALUE"""),100.0)</f>
        <v>100</v>
      </c>
      <c r="F803" s="2" t="str">
        <f>IFERROR(__xludf.DUMMYFUNCTION("""COMPUTED_VALUE"""),"DEF: +5000 +-5 to all rolls, +-Upon being worn can only be removed after 15 days of travel")</f>
        <v>DEF: +5000 +-5 to all rolls, +-Upon being worn can only be removed after 15 days of travel</v>
      </c>
      <c r="G803" s="2">
        <f>IFERROR(__xludf.DUMMYFUNCTION("""COMPUTED_VALUE"""),450000.0)</f>
        <v>450000</v>
      </c>
      <c r="H803" s="2"/>
      <c r="I803" s="2"/>
      <c r="J803" s="2"/>
      <c r="K803" s="2"/>
      <c r="L803" s="2"/>
      <c r="M803" s="2"/>
      <c r="N803" s="2"/>
      <c r="O803" s="2"/>
      <c r="P803" s="2"/>
      <c r="Q803" s="2"/>
      <c r="R803" s="2"/>
      <c r="S803" s="2"/>
      <c r="T803" s="2"/>
      <c r="U803" s="2"/>
      <c r="V803" s="2"/>
      <c r="W803" s="2"/>
      <c r="X803" s="2"/>
      <c r="Y803" s="2"/>
      <c r="Z803" s="2"/>
    </row>
    <row r="804">
      <c r="A804" s="2" t="str">
        <f>IFERROR(__xludf.DUMMYFUNCTION("""COMPUTED_VALUE"""),"Shiv")</f>
        <v>Shiv</v>
      </c>
      <c r="B804" s="2"/>
      <c r="C804" s="2" t="str">
        <f>IFERROR(__xludf.DUMMYFUNCTION("""COMPUTED_VALUE"""),"Knife")</f>
        <v>Knife</v>
      </c>
      <c r="D804" s="2" t="str">
        <f>IFERROR(__xludf.DUMMYFUNCTION("""COMPUTED_VALUE"""),"Hand")</f>
        <v>Hand</v>
      </c>
      <c r="E804" s="2">
        <f>IFERROR(__xludf.DUMMYFUNCTION("""COMPUTED_VALUE"""),4000.0)</f>
        <v>4000</v>
      </c>
      <c r="F804" s="2" t="str">
        <f>IFERROR(__xludf.DUMMYFUNCTION("""COMPUTED_VALUE"""),"DMG: +200000 ++has a 5% chance to give a random disease to any creature hit with this weapon.")</f>
        <v>DMG: +200000 ++has a 5% chance to give a random disease to any creature hit with this weapon.</v>
      </c>
      <c r="G804" s="2">
        <f>IFERROR(__xludf.DUMMYFUNCTION("""COMPUTED_VALUE"""),7.98E8)</f>
        <v>798000000</v>
      </c>
      <c r="H804" s="2"/>
      <c r="I804" s="2"/>
      <c r="J804" s="2"/>
      <c r="K804" s="2"/>
      <c r="L804" s="2"/>
      <c r="M804" s="2"/>
      <c r="N804" s="2"/>
      <c r="O804" s="2"/>
      <c r="P804" s="2"/>
      <c r="Q804" s="2"/>
      <c r="R804" s="2"/>
      <c r="S804" s="2"/>
      <c r="T804" s="2"/>
      <c r="U804" s="2"/>
      <c r="V804" s="2"/>
      <c r="W804" s="2"/>
      <c r="X804" s="2"/>
      <c r="Y804" s="2"/>
      <c r="Z804" s="2"/>
    </row>
    <row r="805">
      <c r="A805" s="2" t="str">
        <f>IFERROR(__xludf.DUMMYFUNCTION("""COMPUTED_VALUE"""),"Inmate's Cap")</f>
        <v>Inmate's Cap</v>
      </c>
      <c r="B805" s="2"/>
      <c r="C805" s="2" t="str">
        <f>IFERROR(__xludf.DUMMYFUNCTION("""COMPUTED_VALUE"""),"Item")</f>
        <v>Item</v>
      </c>
      <c r="D805" s="2" t="str">
        <f>IFERROR(__xludf.DUMMYFUNCTION("""COMPUTED_VALUE"""),"Head")</f>
        <v>Head</v>
      </c>
      <c r="E805" s="2">
        <f>IFERROR(__xludf.DUMMYFUNCTION("""COMPUTED_VALUE"""),2000.0)</f>
        <v>2000</v>
      </c>
      <c r="F805" s="2" t="str">
        <f>IFERROR(__xludf.DUMMYFUNCTION("""COMPUTED_VALUE"""),"DEF: +100000 ++has a 5% chance to avoid beng arrested without fail.")</f>
        <v>DEF: +100000 ++has a 5% chance to avoid beng arrested without fail.</v>
      </c>
      <c r="G805" s="2">
        <f>IFERROR(__xludf.DUMMYFUNCTION("""COMPUTED_VALUE"""),1.99E8)</f>
        <v>199000000</v>
      </c>
      <c r="H805" s="2"/>
      <c r="I805" s="2"/>
      <c r="J805" s="2"/>
      <c r="K805" s="2"/>
      <c r="L805" s="2"/>
      <c r="M805" s="2"/>
      <c r="N805" s="2"/>
      <c r="O805" s="2"/>
      <c r="P805" s="2"/>
      <c r="Q805" s="2"/>
      <c r="R805" s="2"/>
      <c r="S805" s="2"/>
      <c r="T805" s="2"/>
      <c r="U805" s="2"/>
      <c r="V805" s="2"/>
      <c r="W805" s="2"/>
      <c r="X805" s="2"/>
      <c r="Y805" s="2"/>
      <c r="Z805" s="2"/>
    </row>
    <row r="806">
      <c r="A806" s="2" t="str">
        <f>IFERROR(__xludf.DUMMYFUNCTION("""COMPUTED_VALUE"""),"Inmate's Shirt")</f>
        <v>Inmate's Shirt</v>
      </c>
      <c r="B806" s="2"/>
      <c r="C806" s="2" t="str">
        <f>IFERROR(__xludf.DUMMYFUNCTION("""COMPUTED_VALUE"""),"Item")</f>
        <v>Item</v>
      </c>
      <c r="D806" s="2" t="str">
        <f>IFERROR(__xludf.DUMMYFUNCTION("""COMPUTED_VALUE"""),"Torso")</f>
        <v>Torso</v>
      </c>
      <c r="E806" s="2">
        <f>IFERROR(__xludf.DUMMYFUNCTION("""COMPUTED_VALUE"""),2000.0)</f>
        <v>2000</v>
      </c>
      <c r="F806" s="2" t="str">
        <f>IFERROR(__xludf.DUMMYFUNCTION("""COMPUTED_VALUE"""),"DEF: +100000 ++has a 5% chance to avoid beng arrested without fail.")</f>
        <v>DEF: +100000 ++has a 5% chance to avoid beng arrested without fail.</v>
      </c>
      <c r="G806" s="2">
        <f>IFERROR(__xludf.DUMMYFUNCTION("""COMPUTED_VALUE"""),1.99E8)</f>
        <v>199000000</v>
      </c>
      <c r="H806" s="2"/>
      <c r="I806" s="2"/>
      <c r="J806" s="2"/>
      <c r="K806" s="2"/>
      <c r="L806" s="2"/>
      <c r="M806" s="2"/>
      <c r="N806" s="2"/>
      <c r="O806" s="2"/>
      <c r="P806" s="2"/>
      <c r="Q806" s="2"/>
      <c r="R806" s="2"/>
      <c r="S806" s="2"/>
      <c r="T806" s="2"/>
      <c r="U806" s="2"/>
      <c r="V806" s="2"/>
      <c r="W806" s="2"/>
      <c r="X806" s="2"/>
      <c r="Y806" s="2"/>
      <c r="Z806" s="2"/>
    </row>
    <row r="807">
      <c r="A807" s="2" t="str">
        <f>IFERROR(__xludf.DUMMYFUNCTION("""COMPUTED_VALUE"""),"Inmate's Pants")</f>
        <v>Inmate's Pants</v>
      </c>
      <c r="B807" s="2"/>
      <c r="C807" s="2" t="str">
        <f>IFERROR(__xludf.DUMMYFUNCTION("""COMPUTED_VALUE"""),"Item")</f>
        <v>Item</v>
      </c>
      <c r="D807" s="2" t="str">
        <f>IFERROR(__xludf.DUMMYFUNCTION("""COMPUTED_VALUE"""),"Legs")</f>
        <v>Legs</v>
      </c>
      <c r="E807" s="2">
        <f>IFERROR(__xludf.DUMMYFUNCTION("""COMPUTED_VALUE"""),2000.0)</f>
        <v>2000</v>
      </c>
      <c r="F807" s="2" t="str">
        <f>IFERROR(__xludf.DUMMYFUNCTION("""COMPUTED_VALUE"""),"DEF: +100000 ++has a 5% chance to avoid beng arrested without fail.")</f>
        <v>DEF: +100000 ++has a 5% chance to avoid beng arrested without fail.</v>
      </c>
      <c r="G807" s="2">
        <f>IFERROR(__xludf.DUMMYFUNCTION("""COMPUTED_VALUE"""),1.99E8)</f>
        <v>199000000</v>
      </c>
      <c r="H807" s="2"/>
      <c r="I807" s="2"/>
      <c r="J807" s="2"/>
      <c r="K807" s="2"/>
      <c r="L807" s="2"/>
      <c r="M807" s="2"/>
      <c r="N807" s="2"/>
      <c r="O807" s="2"/>
      <c r="P807" s="2"/>
      <c r="Q807" s="2"/>
      <c r="R807" s="2"/>
      <c r="S807" s="2"/>
      <c r="T807" s="2"/>
      <c r="U807" s="2"/>
      <c r="V807" s="2"/>
      <c r="W807" s="2"/>
      <c r="X807" s="2"/>
      <c r="Y807" s="2"/>
      <c r="Z807" s="2"/>
    </row>
    <row r="808">
      <c r="A808" s="2" t="str">
        <f>IFERROR(__xludf.DUMMYFUNCTION("""COMPUTED_VALUE"""),"Warden's Cap")</f>
        <v>Warden's Cap</v>
      </c>
      <c r="B808" s="2"/>
      <c r="C808" s="2" t="str">
        <f>IFERROR(__xludf.DUMMYFUNCTION("""COMPUTED_VALUE"""),"Item")</f>
        <v>Item</v>
      </c>
      <c r="D808" s="2" t="str">
        <f>IFERROR(__xludf.DUMMYFUNCTION("""COMPUTED_VALUE"""),"Head")</f>
        <v>Head</v>
      </c>
      <c r="E808" s="2">
        <f>IFERROR(__xludf.DUMMYFUNCTION("""COMPUTED_VALUE"""),2000.0)</f>
        <v>2000</v>
      </c>
      <c r="F808" s="2" t="str">
        <f>IFERROR(__xludf.DUMMYFUNCTION("""COMPUTED_VALUE"""),"DEF: +100000 ++X2 Damage with Clubs")</f>
        <v>DEF: +100000 ++X2 Damage with Clubs</v>
      </c>
      <c r="G808" s="2">
        <f>IFERROR(__xludf.DUMMYFUNCTION("""COMPUTED_VALUE"""),1.99E8)</f>
        <v>199000000</v>
      </c>
      <c r="H808" s="2"/>
      <c r="I808" s="2"/>
      <c r="J808" s="2"/>
      <c r="K808" s="2"/>
      <c r="L808" s="2"/>
      <c r="M808" s="2"/>
      <c r="N808" s="2"/>
      <c r="O808" s="2"/>
      <c r="P808" s="2"/>
      <c r="Q808" s="2"/>
      <c r="R808" s="2"/>
      <c r="S808" s="2"/>
      <c r="T808" s="2"/>
      <c r="U808" s="2"/>
      <c r="V808" s="2"/>
      <c r="W808" s="2"/>
      <c r="X808" s="2"/>
      <c r="Y808" s="2"/>
      <c r="Z808" s="2"/>
    </row>
    <row r="809">
      <c r="A809" s="2" t="str">
        <f>IFERROR(__xludf.DUMMYFUNCTION("""COMPUTED_VALUE"""),"Warden's Shirt")</f>
        <v>Warden's Shirt</v>
      </c>
      <c r="B809" s="2"/>
      <c r="C809" s="2" t="str">
        <f>IFERROR(__xludf.DUMMYFUNCTION("""COMPUTED_VALUE"""),"Item")</f>
        <v>Item</v>
      </c>
      <c r="D809" s="2" t="str">
        <f>IFERROR(__xludf.DUMMYFUNCTION("""COMPUTED_VALUE"""),"Torso")</f>
        <v>Torso</v>
      </c>
      <c r="E809" s="2">
        <f>IFERROR(__xludf.DUMMYFUNCTION("""COMPUTED_VALUE"""),2000.0)</f>
        <v>2000</v>
      </c>
      <c r="F809" s="2" t="str">
        <f>IFERROR(__xludf.DUMMYFUNCTION("""COMPUTED_VALUE"""),"DEF: +100000 ++X2 Damage with Clubs")</f>
        <v>DEF: +100000 ++X2 Damage with Clubs</v>
      </c>
      <c r="G809" s="2">
        <f>IFERROR(__xludf.DUMMYFUNCTION("""COMPUTED_VALUE"""),1.99E8)</f>
        <v>199000000</v>
      </c>
      <c r="H809" s="2"/>
      <c r="I809" s="2"/>
      <c r="J809" s="2"/>
      <c r="K809" s="2"/>
      <c r="L809" s="2"/>
      <c r="M809" s="2"/>
      <c r="N809" s="2"/>
      <c r="O809" s="2"/>
      <c r="P809" s="2"/>
      <c r="Q809" s="2"/>
      <c r="R809" s="2"/>
      <c r="S809" s="2"/>
      <c r="T809" s="2"/>
      <c r="U809" s="2"/>
      <c r="V809" s="2"/>
      <c r="W809" s="2"/>
      <c r="X809" s="2"/>
      <c r="Y809" s="2"/>
      <c r="Z809" s="2"/>
    </row>
    <row r="810">
      <c r="A810" s="2" t="str">
        <f>IFERROR(__xludf.DUMMYFUNCTION("""COMPUTED_VALUE"""),"Warden's Pants")</f>
        <v>Warden's Pants</v>
      </c>
      <c r="B810" s="2"/>
      <c r="C810" s="2" t="str">
        <f>IFERROR(__xludf.DUMMYFUNCTION("""COMPUTED_VALUE"""),"Item")</f>
        <v>Item</v>
      </c>
      <c r="D810" s="2" t="str">
        <f>IFERROR(__xludf.DUMMYFUNCTION("""COMPUTED_VALUE"""),"Legs")</f>
        <v>Legs</v>
      </c>
      <c r="E810" s="2">
        <f>IFERROR(__xludf.DUMMYFUNCTION("""COMPUTED_VALUE"""),2000.0)</f>
        <v>2000</v>
      </c>
      <c r="F810" s="2" t="str">
        <f>IFERROR(__xludf.DUMMYFUNCTION("""COMPUTED_VALUE"""),"DEF: +100000 ++X2 Damage with Clubs")</f>
        <v>DEF: +100000 ++X2 Damage with Clubs</v>
      </c>
      <c r="G810" s="2">
        <f>IFERROR(__xludf.DUMMYFUNCTION("""COMPUTED_VALUE"""),1.99E8)</f>
        <v>199000000</v>
      </c>
      <c r="H810" s="2"/>
      <c r="I810" s="2"/>
      <c r="J810" s="2"/>
      <c r="K810" s="2"/>
      <c r="L810" s="2"/>
      <c r="M810" s="2"/>
      <c r="N810" s="2"/>
      <c r="O810" s="2"/>
      <c r="P810" s="2"/>
      <c r="Q810" s="2"/>
      <c r="R810" s="2"/>
      <c r="S810" s="2"/>
      <c r="T810" s="2"/>
      <c r="U810" s="2"/>
      <c r="V810" s="2"/>
      <c r="W810" s="2"/>
      <c r="X810" s="2"/>
      <c r="Y810" s="2"/>
      <c r="Z810" s="2"/>
    </row>
    <row r="811">
      <c r="A811" s="2" t="str">
        <f>IFERROR(__xludf.DUMMYFUNCTION("""COMPUTED_VALUE"""),"Warden's Boots")</f>
        <v>Warden's Boots</v>
      </c>
      <c r="B811" s="2"/>
      <c r="C811" s="2" t="str">
        <f>IFERROR(__xludf.DUMMYFUNCTION("""COMPUTED_VALUE"""),"Item")</f>
        <v>Item</v>
      </c>
      <c r="D811" s="2" t="str">
        <f>IFERROR(__xludf.DUMMYFUNCTION("""COMPUTED_VALUE"""),"Feet")</f>
        <v>Feet</v>
      </c>
      <c r="E811" s="2">
        <f>IFERROR(__xludf.DUMMYFUNCTION("""COMPUTED_VALUE"""),2000.0)</f>
        <v>2000</v>
      </c>
      <c r="F811" s="2" t="str">
        <f>IFERROR(__xludf.DUMMYFUNCTION("""COMPUTED_VALUE"""),"DEF: +100000 ++X2 Damage with Clubs")</f>
        <v>DEF: +100000 ++X2 Damage with Clubs</v>
      </c>
      <c r="G811" s="2">
        <f>IFERROR(__xludf.DUMMYFUNCTION("""COMPUTED_VALUE"""),1.99E8)</f>
        <v>199000000</v>
      </c>
      <c r="H811" s="2"/>
      <c r="I811" s="2"/>
      <c r="J811" s="2"/>
      <c r="K811" s="2"/>
      <c r="L811" s="2"/>
      <c r="M811" s="2"/>
      <c r="N811" s="2"/>
      <c r="O811" s="2"/>
      <c r="P811" s="2"/>
      <c r="Q811" s="2"/>
      <c r="R811" s="2"/>
      <c r="S811" s="2"/>
      <c r="T811" s="2"/>
      <c r="U811" s="2"/>
      <c r="V811" s="2"/>
      <c r="W811" s="2"/>
      <c r="X811" s="2"/>
      <c r="Y811" s="2"/>
      <c r="Z811" s="2"/>
    </row>
    <row r="812">
      <c r="A812" s="2" t="str">
        <f>IFERROR(__xludf.DUMMYFUNCTION("""COMPUTED_VALUE"""),"Warden's Baton")</f>
        <v>Warden's Baton</v>
      </c>
      <c r="B812" s="2"/>
      <c r="C812" s="2" t="str">
        <f>IFERROR(__xludf.DUMMYFUNCTION("""COMPUTED_VALUE"""),"Club")</f>
        <v>Club</v>
      </c>
      <c r="D812" s="2" t="str">
        <f>IFERROR(__xludf.DUMMYFUNCTION("""COMPUTED_VALUE"""),"Hand")</f>
        <v>Hand</v>
      </c>
      <c r="E812" s="2">
        <f>IFERROR(__xludf.DUMMYFUNCTION("""COMPUTED_VALUE"""),4000.0)</f>
        <v>4000</v>
      </c>
      <c r="F812" s="2" t="str">
        <f>IFERROR(__xludf.DUMMYFUNCTION("""COMPUTED_VALUE"""),"DMG: +200000 ++X20 damage to any enemy wearing a confining collar.")</f>
        <v>DMG: +200000 ++X20 damage to any enemy wearing a confining collar.</v>
      </c>
      <c r="G812" s="2">
        <f>IFERROR(__xludf.DUMMYFUNCTION("""COMPUTED_VALUE"""),7.98E8)</f>
        <v>798000000</v>
      </c>
      <c r="H812" s="2"/>
      <c r="I812" s="2"/>
      <c r="J812" s="2"/>
      <c r="K812" s="2"/>
      <c r="L812" s="2"/>
      <c r="M812" s="2"/>
      <c r="N812" s="2"/>
      <c r="O812" s="2"/>
      <c r="P812" s="2"/>
      <c r="Q812" s="2"/>
      <c r="R812" s="2"/>
      <c r="S812" s="2"/>
      <c r="T812" s="2"/>
      <c r="U812" s="2"/>
      <c r="V812" s="2"/>
      <c r="W812" s="2"/>
      <c r="X812" s="2"/>
      <c r="Y812" s="2"/>
      <c r="Z812" s="2"/>
    </row>
    <row r="813">
      <c r="A813" s="2" t="str">
        <f>IFERROR(__xludf.DUMMYFUNCTION("""COMPUTED_VALUE"""),"Gentleman's Club")</f>
        <v>Gentleman's Club</v>
      </c>
      <c r="B813" s="2"/>
      <c r="C813" s="2" t="str">
        <f>IFERROR(__xludf.DUMMYFUNCTION("""COMPUTED_VALUE"""),"Club")</f>
        <v>Club</v>
      </c>
      <c r="D813" s="2" t="str">
        <f>IFERROR(__xludf.DUMMYFUNCTION("""COMPUTED_VALUE"""),"Hand")</f>
        <v>Hand</v>
      </c>
      <c r="E813" s="2">
        <f>IFERROR(__xludf.DUMMYFUNCTION("""COMPUTED_VALUE"""),3000.0)</f>
        <v>3000</v>
      </c>
      <c r="F813" s="2" t="str">
        <f>IFERROR(__xludf.DUMMYFUNCTION("""COMPUTED_VALUE"""),"DMG: +150000 ++Enemies hit with this weapon cannot cast spells for 2 rounds. +-Cannot be duplicated.")</f>
        <v>DMG: +150000 ++Enemies hit with this weapon cannot cast spells for 2 rounds. +-Cannot be duplicated.</v>
      </c>
      <c r="G813" s="2">
        <f>IFERROR(__xludf.DUMMYFUNCTION("""COMPUTED_VALUE"""),4.485E8)</f>
        <v>448500000</v>
      </c>
      <c r="H813" s="2"/>
      <c r="I813" s="2"/>
      <c r="J813" s="2"/>
      <c r="K813" s="2"/>
      <c r="L813" s="2"/>
      <c r="M813" s="2"/>
      <c r="N813" s="2"/>
      <c r="O813" s="2"/>
      <c r="P813" s="2"/>
      <c r="Q813" s="2"/>
      <c r="R813" s="2"/>
      <c r="S813" s="2"/>
      <c r="T813" s="2"/>
      <c r="U813" s="2"/>
      <c r="V813" s="2"/>
      <c r="W813" s="2"/>
      <c r="X813" s="2"/>
      <c r="Y813" s="2"/>
      <c r="Z813" s="2"/>
    </row>
    <row r="814">
      <c r="A814" s="2" t="str">
        <f>IFERROR(__xludf.DUMMYFUNCTION("""COMPUTED_VALUE"""),"Honest Shirt")</f>
        <v>Honest Shirt</v>
      </c>
      <c r="B814" s="2"/>
      <c r="C814" s="2" t="str">
        <f>IFERROR(__xludf.DUMMYFUNCTION("""COMPUTED_VALUE"""),"Item")</f>
        <v>Item</v>
      </c>
      <c r="D814" s="2" t="str">
        <f>IFERROR(__xludf.DUMMYFUNCTION("""COMPUTED_VALUE"""),"Torso")</f>
        <v>Torso</v>
      </c>
      <c r="E814" s="2">
        <f>IFERROR(__xludf.DUMMYFUNCTION("""COMPUTED_VALUE"""),2000.0)</f>
        <v>2000</v>
      </c>
      <c r="F814" s="2" t="str">
        <f>IFERROR(__xludf.DUMMYFUNCTION("""COMPUTED_VALUE"""),"DEF: +100000 ++25% chance any spell targeting the wearer fails.")</f>
        <v>DEF: +100000 ++25% chance any spell targeting the wearer fails.</v>
      </c>
      <c r="G814" s="2">
        <f>IFERROR(__xludf.DUMMYFUNCTION("""COMPUTED_VALUE"""),1.99E8)</f>
        <v>199000000</v>
      </c>
      <c r="H814" s="2"/>
      <c r="I814" s="2"/>
      <c r="J814" s="2"/>
      <c r="K814" s="2"/>
      <c r="L814" s="2"/>
      <c r="M814" s="2"/>
      <c r="N814" s="2"/>
      <c r="O814" s="2"/>
      <c r="P814" s="2"/>
      <c r="Q814" s="2"/>
      <c r="R814" s="2"/>
      <c r="S814" s="2"/>
      <c r="T814" s="2"/>
      <c r="U814" s="2"/>
      <c r="V814" s="2"/>
      <c r="W814" s="2"/>
      <c r="X814" s="2"/>
      <c r="Y814" s="2"/>
      <c r="Z814" s="2"/>
    </row>
    <row r="815">
      <c r="A815" s="2" t="str">
        <f>IFERROR(__xludf.DUMMYFUNCTION("""COMPUTED_VALUE"""),"Tinfoil Hat")</f>
        <v>Tinfoil Hat</v>
      </c>
      <c r="B815" s="2"/>
      <c r="C815" s="2" t="str">
        <f>IFERROR(__xludf.DUMMYFUNCTION("""COMPUTED_VALUE"""),"Item")</f>
        <v>Item</v>
      </c>
      <c r="D815" s="2" t="str">
        <f>IFERROR(__xludf.DUMMYFUNCTION("""COMPUTED_VALUE"""),"Head")</f>
        <v>Head</v>
      </c>
      <c r="E815" s="2">
        <f>IFERROR(__xludf.DUMMYFUNCTION("""COMPUTED_VALUE"""),1.0)</f>
        <v>1</v>
      </c>
      <c r="F815" s="2" t="str">
        <f>IFERROR(__xludf.DUMMYFUNCTION("""COMPUTED_VALUE""")," ++Immunity to Possession. +-Cannot be duplicated.")</f>
        <v> ++Immunity to Possession. +-Cannot be duplicated.</v>
      </c>
      <c r="G815" s="2">
        <f>IFERROR(__xludf.DUMMYFUNCTION("""COMPUTED_VALUE"""),0.0)</f>
        <v>0</v>
      </c>
      <c r="H815" s="2"/>
      <c r="I815" s="2"/>
      <c r="J815" s="2"/>
      <c r="K815" s="2"/>
      <c r="L815" s="2"/>
      <c r="M815" s="2"/>
      <c r="N815" s="2"/>
      <c r="O815" s="2"/>
      <c r="P815" s="2"/>
      <c r="Q815" s="2"/>
      <c r="R815" s="2"/>
      <c r="S815" s="2"/>
      <c r="T815" s="2"/>
      <c r="U815" s="2"/>
      <c r="V815" s="2"/>
      <c r="W815" s="2"/>
      <c r="X815" s="2"/>
      <c r="Y815" s="2"/>
      <c r="Z815" s="2"/>
    </row>
    <row r="816">
      <c r="A816" s="2" t="str">
        <f>IFERROR(__xludf.DUMMYFUNCTION("""COMPUTED_VALUE"""),"Anti-Magic Glasses")</f>
        <v>Anti-Magic Glasses</v>
      </c>
      <c r="B816" s="2"/>
      <c r="C816" s="2" t="str">
        <f>IFERROR(__xludf.DUMMYFUNCTION("""COMPUTED_VALUE"""),"Item")</f>
        <v>Item</v>
      </c>
      <c r="D816" s="2" t="str">
        <f>IFERROR(__xludf.DUMMYFUNCTION("""COMPUTED_VALUE"""),"Head")</f>
        <v>Head</v>
      </c>
      <c r="E816" s="2">
        <f>IFERROR(__xludf.DUMMYFUNCTION("""COMPUTED_VALUE"""),1.0)</f>
        <v>1</v>
      </c>
      <c r="F816" s="2" t="str">
        <f>IFERROR(__xludf.DUMMYFUNCTION("""COMPUTED_VALUE""")," ++Immunity to Blindness, Disorient, and Twilight. +-Cannot be duplicated")</f>
        <v> ++Immunity to Blindness, Disorient, and Twilight. +-Cannot be duplicated</v>
      </c>
      <c r="G816" s="2">
        <f>IFERROR(__xludf.DUMMYFUNCTION("""COMPUTED_VALUE"""),0.0)</f>
        <v>0</v>
      </c>
      <c r="H816" s="2"/>
      <c r="I816" s="2"/>
      <c r="J816" s="2"/>
      <c r="K816" s="2"/>
      <c r="L816" s="2"/>
      <c r="M816" s="2"/>
      <c r="N816" s="2"/>
      <c r="O816" s="2"/>
      <c r="P816" s="2"/>
      <c r="Q816" s="2"/>
      <c r="R816" s="2"/>
      <c r="S816" s="2"/>
      <c r="T816" s="2"/>
      <c r="U816" s="2"/>
      <c r="V816" s="2"/>
      <c r="W816" s="2"/>
      <c r="X816" s="2"/>
      <c r="Y816" s="2"/>
      <c r="Z816" s="2"/>
    </row>
    <row r="817">
      <c r="A817" s="2" t="str">
        <f>IFERROR(__xludf.DUMMYFUNCTION("""COMPUTED_VALUE"""),"Null Ring")</f>
        <v>Null Ring</v>
      </c>
      <c r="B817" s="2"/>
      <c r="C817" s="2" t="str">
        <f>IFERROR(__xludf.DUMMYFUNCTION("""COMPUTED_VALUE"""),"Item")</f>
        <v>Item</v>
      </c>
      <c r="D817" s="2" t="str">
        <f>IFERROR(__xludf.DUMMYFUNCTION("""COMPUTED_VALUE"""),"Finger")</f>
        <v>Finger</v>
      </c>
      <c r="E817" s="2">
        <f>IFERROR(__xludf.DUMMYFUNCTION("""COMPUTED_VALUE"""),1.0)</f>
        <v>1</v>
      </c>
      <c r="F817" s="2" t="str">
        <f>IFERROR(__xludf.DUMMYFUNCTION("""COMPUTED_VALUE""")," ++15% chance at start of battle to become immune to all magic casted by enemies and allies +-Wearer is incapable of casting magic +-Not able to be forged or duplicated")</f>
        <v> ++15% chance at start of battle to become immune to all magic casted by enemies and allies +-Wearer is incapable of casting magic +-Not able to be forged or duplicated</v>
      </c>
      <c r="G817" s="2">
        <f>IFERROR(__xludf.DUMMYFUNCTION("""COMPUTED_VALUE"""),0.0)</f>
        <v>0</v>
      </c>
      <c r="H817" s="2"/>
      <c r="I817" s="2"/>
      <c r="J817" s="2"/>
      <c r="K817" s="2"/>
      <c r="L817" s="2"/>
      <c r="M817" s="2"/>
      <c r="N817" s="2"/>
      <c r="O817" s="2"/>
      <c r="P817" s="2"/>
      <c r="Q817" s="2"/>
      <c r="R817" s="2"/>
      <c r="S817" s="2"/>
      <c r="T817" s="2"/>
      <c r="U817" s="2"/>
      <c r="V817" s="2"/>
      <c r="W817" s="2"/>
      <c r="X817" s="2"/>
      <c r="Y817" s="2"/>
      <c r="Z817" s="2"/>
    </row>
    <row r="818">
      <c r="A818" s="2" t="str">
        <f>IFERROR(__xludf.DUMMYFUNCTION("""COMPUTED_VALUE"""),"Quickdraw Bow")</f>
        <v>Quickdraw Bow</v>
      </c>
      <c r="B818" s="2"/>
      <c r="C818" s="2" t="str">
        <f>IFERROR(__xludf.DUMMYFUNCTION("""COMPUTED_VALUE"""),"Bow")</f>
        <v>Bow</v>
      </c>
      <c r="D818" s="2" t="str">
        <f>IFERROR(__xludf.DUMMYFUNCTION("""COMPUTED_VALUE"""),"Hand")</f>
        <v>Hand</v>
      </c>
      <c r="E818" s="2">
        <f>IFERROR(__xludf.DUMMYFUNCTION("""COMPUTED_VALUE"""),2000.0)</f>
        <v>2000</v>
      </c>
      <c r="F818" s="2" t="str">
        <f>IFERROR(__xludf.DUMMYFUNCTION("""COMPUTED_VALUE"""),"DMG: +99500, Spirit DMG: +500 ++Plus 2 to turn order roll +-Cannot be forged or duplicated")</f>
        <v>DMG: +99500, Spirit DMG: +500 ++Plus 2 to turn order roll +-Cannot be forged or duplicated</v>
      </c>
      <c r="G818" s="2">
        <f>IFERROR(__xludf.DUMMYFUNCTION("""COMPUTED_VALUE"""),1.99E8)</f>
        <v>199000000</v>
      </c>
      <c r="H818" s="2"/>
      <c r="I818" s="2"/>
      <c r="J818" s="2"/>
      <c r="K818" s="2"/>
      <c r="L818" s="2"/>
      <c r="M818" s="2"/>
      <c r="N818" s="2"/>
      <c r="O818" s="2"/>
      <c r="P818" s="2"/>
      <c r="Q818" s="2"/>
      <c r="R818" s="2"/>
      <c r="S818" s="2"/>
      <c r="T818" s="2"/>
      <c r="U818" s="2"/>
      <c r="V818" s="2"/>
      <c r="W818" s="2"/>
      <c r="X818" s="2"/>
      <c r="Y818" s="2"/>
      <c r="Z818" s="2"/>
    </row>
    <row r="819">
      <c r="A819" s="2" t="str">
        <f>IFERROR(__xludf.DUMMYFUNCTION("""COMPUTED_VALUE"""),"Chaos Bow")</f>
        <v>Chaos Bow</v>
      </c>
      <c r="B819" s="2"/>
      <c r="C819" s="2" t="str">
        <f>IFERROR(__xludf.DUMMYFUNCTION("""COMPUTED_VALUE"""),"Bow")</f>
        <v>Bow</v>
      </c>
      <c r="D819" s="2" t="str">
        <f>IFERROR(__xludf.DUMMYFUNCTION("""COMPUTED_VALUE"""),"Hand")</f>
        <v>Hand</v>
      </c>
      <c r="E819" s="2">
        <f>IFERROR(__xludf.DUMMYFUNCTION("""COMPUTED_VALUE"""),2600.0)</f>
        <v>2600</v>
      </c>
      <c r="F819" s="2" t="str">
        <f>IFERROR(__xludf.DUMMYFUNCTION("""COMPUTED_VALUE"""),"DMG: +50000, Chaos DMG: +80000 ++This bow targets a random enemy.")</f>
        <v>DMG: +50000, Chaos DMG: +80000 ++This bow targets a random enemy.</v>
      </c>
      <c r="G819" s="2">
        <f>IFERROR(__xludf.DUMMYFUNCTION("""COMPUTED_VALUE"""),3.367E8)</f>
        <v>336700000</v>
      </c>
      <c r="H819" s="2"/>
      <c r="I819" s="2"/>
      <c r="J819" s="2"/>
      <c r="K819" s="2"/>
      <c r="L819" s="2"/>
      <c r="M819" s="2"/>
      <c r="N819" s="2"/>
      <c r="O819" s="2"/>
      <c r="P819" s="2"/>
      <c r="Q819" s="2"/>
      <c r="R819" s="2"/>
      <c r="S819" s="2"/>
      <c r="T819" s="2"/>
      <c r="U819" s="2"/>
      <c r="V819" s="2"/>
      <c r="W819" s="2"/>
      <c r="X819" s="2"/>
      <c r="Y819" s="2"/>
      <c r="Z819" s="2"/>
    </row>
    <row r="820">
      <c r="A820" s="2" t="str">
        <f>IFERROR(__xludf.DUMMYFUNCTION("""COMPUTED_VALUE"""),"Crit Shot Bow")</f>
        <v>Crit Shot Bow</v>
      </c>
      <c r="B820" s="2"/>
      <c r="C820" s="2" t="str">
        <f>IFERROR(__xludf.DUMMYFUNCTION("""COMPUTED_VALUE"""),"Bow")</f>
        <v>Bow</v>
      </c>
      <c r="D820" s="2" t="str">
        <f>IFERROR(__xludf.DUMMYFUNCTION("""COMPUTED_VALUE"""),"Hand")</f>
        <v>Hand</v>
      </c>
      <c r="E820" s="2">
        <f>IFERROR(__xludf.DUMMYFUNCTION("""COMPUTED_VALUE"""),4000.0)</f>
        <v>4000</v>
      </c>
      <c r="F820" s="2" t="str">
        <f>IFERROR(__xludf.DUMMYFUNCTION("""COMPUTED_VALUE"""),"DMG: +200000 ++Deals 3x damage +-Accuracy halved")</f>
        <v>DMG: +200000 ++Deals 3x damage +-Accuracy halved</v>
      </c>
      <c r="G820" s="2">
        <f>IFERROR(__xludf.DUMMYFUNCTION("""COMPUTED_VALUE"""),7.98E8)</f>
        <v>798000000</v>
      </c>
      <c r="H820" s="2"/>
      <c r="I820" s="2"/>
      <c r="J820" s="2"/>
      <c r="K820" s="2"/>
      <c r="L820" s="2"/>
      <c r="M820" s="2"/>
      <c r="N820" s="2"/>
      <c r="O820" s="2"/>
      <c r="P820" s="2"/>
      <c r="Q820" s="2"/>
      <c r="R820" s="2"/>
      <c r="S820" s="2"/>
      <c r="T820" s="2"/>
      <c r="U820" s="2"/>
      <c r="V820" s="2"/>
      <c r="W820" s="2"/>
      <c r="X820" s="2"/>
      <c r="Y820" s="2"/>
      <c r="Z820" s="2"/>
    </row>
    <row r="821">
      <c r="A821" s="2" t="str">
        <f>IFERROR(__xludf.DUMMYFUNCTION("""COMPUTED_VALUE"""),"Incinerating Bow")</f>
        <v>Incinerating Bow</v>
      </c>
      <c r="B821" s="2"/>
      <c r="C821" s="2" t="str">
        <f>IFERROR(__xludf.DUMMYFUNCTION("""COMPUTED_VALUE"""),"Bow")</f>
        <v>Bow</v>
      </c>
      <c r="D821" s="2" t="str">
        <f>IFERROR(__xludf.DUMMYFUNCTION("""COMPUTED_VALUE"""),"Hand")</f>
        <v>Hand</v>
      </c>
      <c r="E821" s="2">
        <f>IFERROR(__xludf.DUMMYFUNCTION("""COMPUTED_VALUE"""),3800.0)</f>
        <v>3800</v>
      </c>
      <c r="F821" s="2" t="str">
        <f>IFERROR(__xludf.DUMMYFUNCTION("""COMPUTED_VALUE"""),"DMG: +90000, Fire DMG: +100000 ++Gain 1 Fire Arrow when any other arrow type is used. ++When using Fire Arrows deal 2x damage with this weapon. +-Cannot be forged or duplicated")</f>
        <v>DMG: +90000, Fire DMG: +100000 ++Gain 1 Fire Arrow when any other arrow type is used. ++When using Fire Arrows deal 2x damage with this weapon. +-Cannot be forged or duplicated</v>
      </c>
      <c r="G821" s="2">
        <f>IFERROR(__xludf.DUMMYFUNCTION("""COMPUTED_VALUE"""),7.201E8)</f>
        <v>720100000</v>
      </c>
      <c r="H821" s="2"/>
      <c r="I821" s="2"/>
      <c r="J821" s="2"/>
      <c r="K821" s="2"/>
      <c r="L821" s="2"/>
      <c r="M821" s="2"/>
      <c r="N821" s="2"/>
      <c r="O821" s="2"/>
      <c r="P821" s="2"/>
      <c r="Q821" s="2"/>
      <c r="R821" s="2"/>
      <c r="S821" s="2"/>
      <c r="T821" s="2"/>
      <c r="U821" s="2"/>
      <c r="V821" s="2"/>
      <c r="W821" s="2"/>
      <c r="X821" s="2"/>
      <c r="Y821" s="2"/>
      <c r="Z821" s="2"/>
    </row>
    <row r="822">
      <c r="A822" s="2" t="str">
        <f>IFERROR(__xludf.DUMMYFUNCTION("""COMPUTED_VALUE"""),"Bone Bow")</f>
        <v>Bone Bow</v>
      </c>
      <c r="B822" s="2"/>
      <c r="C822" s="2" t="str">
        <f>IFERROR(__xludf.DUMMYFUNCTION("""COMPUTED_VALUE"""),"Bow")</f>
        <v>Bow</v>
      </c>
      <c r="D822" s="2" t="str">
        <f>IFERROR(__xludf.DUMMYFUNCTION("""COMPUTED_VALUE"""),"Hand")</f>
        <v>Hand</v>
      </c>
      <c r="E822" s="2">
        <f>IFERROR(__xludf.DUMMYFUNCTION("""COMPUTED_VALUE"""),3400.0)</f>
        <v>3400</v>
      </c>
      <c r="F822" s="2" t="str">
        <f>IFERROR(__xludf.DUMMYFUNCTION("""COMPUTED_VALUE"""),"DMG: +10000, Blood DMG: +160000 ++ 2x damage when user isundead")</f>
        <v>DMG: +10000, Blood DMG: +160000 ++ 2x damage when user isundead</v>
      </c>
      <c r="G822" s="2">
        <f>IFERROR(__xludf.DUMMYFUNCTION("""COMPUTED_VALUE"""),5.763E8)</f>
        <v>576300000</v>
      </c>
      <c r="H822" s="2"/>
      <c r="I822" s="2"/>
      <c r="J822" s="2"/>
      <c r="K822" s="2"/>
      <c r="L822" s="2"/>
      <c r="M822" s="2"/>
      <c r="N822" s="2"/>
      <c r="O822" s="2"/>
      <c r="P822" s="2"/>
      <c r="Q822" s="2"/>
      <c r="R822" s="2"/>
      <c r="S822" s="2"/>
      <c r="T822" s="2"/>
      <c r="U822" s="2"/>
      <c r="V822" s="2"/>
      <c r="W822" s="2"/>
      <c r="X822" s="2"/>
      <c r="Y822" s="2"/>
      <c r="Z822" s="2"/>
    </row>
    <row r="823">
      <c r="A823" s="2" t="str">
        <f>IFERROR(__xludf.DUMMYFUNCTION("""COMPUTED_VALUE"""),"Assassin's Fake Harp")</f>
        <v>Assassin's Fake Harp</v>
      </c>
      <c r="B823" s="2"/>
      <c r="C823" s="2" t="str">
        <f>IFERROR(__xludf.DUMMYFUNCTION("""COMPUTED_VALUE"""),"Bow")</f>
        <v>Bow</v>
      </c>
      <c r="D823" s="2" t="str">
        <f>IFERROR(__xludf.DUMMYFUNCTION("""COMPUTED_VALUE"""),"Hand")</f>
        <v>Hand</v>
      </c>
      <c r="E823" s="2">
        <f>IFERROR(__xludf.DUMMYFUNCTION("""COMPUTED_VALUE"""),3000.0)</f>
        <v>3000</v>
      </c>
      <c r="F823" s="2" t="str">
        <f>IFERROR(__xludf.DUMMYFUNCTION("""COMPUTED_VALUE"""),"DMG: +50000, Acoustic DMG: +100000 ++Deals X2 additional damage for the first round of battle.")</f>
        <v>DMG: +50000, Acoustic DMG: +100000 ++Deals X2 additional damage for the first round of battle.</v>
      </c>
      <c r="G823" s="2">
        <f>IFERROR(__xludf.DUMMYFUNCTION("""COMPUTED_VALUE"""),4.485E8)</f>
        <v>448500000</v>
      </c>
      <c r="H823" s="2"/>
      <c r="I823" s="2"/>
      <c r="J823" s="2"/>
      <c r="K823" s="2"/>
      <c r="L823" s="2"/>
      <c r="M823" s="2"/>
      <c r="N823" s="2"/>
      <c r="O823" s="2"/>
      <c r="P823" s="2"/>
      <c r="Q823" s="2"/>
      <c r="R823" s="2"/>
      <c r="S823" s="2"/>
      <c r="T823" s="2"/>
      <c r="U823" s="2"/>
      <c r="V823" s="2"/>
      <c r="W823" s="2"/>
      <c r="X823" s="2"/>
      <c r="Y823" s="2"/>
      <c r="Z823" s="2"/>
    </row>
    <row r="824">
      <c r="A824" s="2" t="str">
        <f>IFERROR(__xludf.DUMMYFUNCTION("""COMPUTED_VALUE"""),"Broken Bow")</f>
        <v>Broken Bow</v>
      </c>
      <c r="B824" s="2"/>
      <c r="C824" s="2" t="str">
        <f>IFERROR(__xludf.DUMMYFUNCTION("""COMPUTED_VALUE"""),"Club")</f>
        <v>Club</v>
      </c>
      <c r="D824" s="2" t="str">
        <f>IFERROR(__xludf.DUMMYFUNCTION("""COMPUTED_VALUE"""),"Hand")</f>
        <v>Hand</v>
      </c>
      <c r="E824" s="2">
        <f>IFERROR(__xludf.DUMMYFUNCTION("""COMPUTED_VALUE"""),20.0)</f>
        <v>20</v>
      </c>
      <c r="F824" s="2" t="str">
        <f>IFERROR(__xludf.DUMMYFUNCTION("""COMPUTED_VALUE"""),"DMG: +1000")</f>
        <v>DMG: +1000</v>
      </c>
      <c r="G824" s="2">
        <f>IFERROR(__xludf.DUMMYFUNCTION("""COMPUTED_VALUE"""),10000.0)</f>
        <v>10000</v>
      </c>
      <c r="H824" s="2"/>
      <c r="I824" s="2"/>
      <c r="J824" s="2"/>
      <c r="K824" s="2"/>
      <c r="L824" s="2"/>
      <c r="M824" s="2"/>
      <c r="N824" s="2"/>
      <c r="O824" s="2"/>
      <c r="P824" s="2"/>
      <c r="Q824" s="2"/>
      <c r="R824" s="2"/>
      <c r="S824" s="2"/>
      <c r="T824" s="2"/>
      <c r="U824" s="2"/>
      <c r="V824" s="2"/>
      <c r="W824" s="2"/>
      <c r="X824" s="2"/>
      <c r="Y824" s="2"/>
      <c r="Z824" s="2"/>
    </row>
    <row r="825">
      <c r="A825" s="2" t="str">
        <f>IFERROR(__xludf.DUMMYFUNCTION("""COMPUTED_VALUE"""),"Lizard Wizard Hat")</f>
        <v>Lizard Wizard Hat</v>
      </c>
      <c r="B825" s="2"/>
      <c r="C825" s="2" t="str">
        <f>IFERROR(__xludf.DUMMYFUNCTION("""COMPUTED_VALUE"""),"Item")</f>
        <v>Item</v>
      </c>
      <c r="D825" s="2" t="str">
        <f>IFERROR(__xludf.DUMMYFUNCTION("""COMPUTED_VALUE"""),"Head")</f>
        <v>Head</v>
      </c>
      <c r="E825" s="2">
        <f>IFERROR(__xludf.DUMMYFUNCTION("""COMPUTED_VALUE"""),200.0)</f>
        <v>200</v>
      </c>
      <c r="F825" s="2" t="str">
        <f>IFERROR(__xludf.DUMMYFUNCTION("""COMPUTED_VALUE"""),"DEF: +10000 ++7500 hp and sp, X2 poison damage")</f>
        <v>DEF: +10000 ++7500 hp and sp, X2 poison damage</v>
      </c>
      <c r="G825" s="2">
        <f>IFERROR(__xludf.DUMMYFUNCTION("""COMPUTED_VALUE"""),1900000.0)</f>
        <v>1900000</v>
      </c>
      <c r="H825" s="2"/>
      <c r="I825" s="2"/>
      <c r="J825" s="2"/>
      <c r="K825" s="2"/>
      <c r="L825" s="2"/>
      <c r="M825" s="2"/>
      <c r="N825" s="2"/>
      <c r="O825" s="2"/>
      <c r="P825" s="2"/>
      <c r="Q825" s="2"/>
      <c r="R825" s="2"/>
      <c r="S825" s="2"/>
      <c r="T825" s="2"/>
      <c r="U825" s="2"/>
      <c r="V825" s="2"/>
      <c r="W825" s="2"/>
      <c r="X825" s="2"/>
      <c r="Y825" s="2"/>
      <c r="Z825" s="2"/>
    </row>
    <row r="826">
      <c r="A826" s="2" t="str">
        <f>IFERROR(__xludf.DUMMYFUNCTION("""COMPUTED_VALUE"""),"Lizard Wizard Robes")</f>
        <v>Lizard Wizard Robes</v>
      </c>
      <c r="B826" s="2"/>
      <c r="C826" s="2" t="str">
        <f>IFERROR(__xludf.DUMMYFUNCTION("""COMPUTED_VALUE"""),"Item")</f>
        <v>Item</v>
      </c>
      <c r="D826" s="2" t="str">
        <f>IFERROR(__xludf.DUMMYFUNCTION("""COMPUTED_VALUE"""),"Torso")</f>
        <v>Torso</v>
      </c>
      <c r="E826" s="2">
        <f>IFERROR(__xludf.DUMMYFUNCTION("""COMPUTED_VALUE"""),200.0)</f>
        <v>200</v>
      </c>
      <c r="F826" s="2" t="str">
        <f>IFERROR(__xludf.DUMMYFUNCTION("""COMPUTED_VALUE"""),"DEF: +10000 ++7500 hp and sp, X2 poison damage")</f>
        <v>DEF: +10000 ++7500 hp and sp, X2 poison damage</v>
      </c>
      <c r="G826" s="2">
        <f>IFERROR(__xludf.DUMMYFUNCTION("""COMPUTED_VALUE"""),1900000.0)</f>
        <v>1900000</v>
      </c>
      <c r="H826" s="2"/>
      <c r="I826" s="2"/>
      <c r="J826" s="2"/>
      <c r="K826" s="2"/>
      <c r="L826" s="2"/>
      <c r="M826" s="2"/>
      <c r="N826" s="2"/>
      <c r="O826" s="2"/>
      <c r="P826" s="2"/>
      <c r="Q826" s="2"/>
      <c r="R826" s="2"/>
      <c r="S826" s="2"/>
      <c r="T826" s="2"/>
      <c r="U826" s="2"/>
      <c r="V826" s="2"/>
      <c r="W826" s="2"/>
      <c r="X826" s="2"/>
      <c r="Y826" s="2"/>
      <c r="Z826" s="2"/>
    </row>
    <row r="827">
      <c r="A827" s="2" t="str">
        <f>IFERROR(__xludf.DUMMYFUNCTION("""COMPUTED_VALUE"""),"Lizard Wizard Leggings")</f>
        <v>Lizard Wizard Leggings</v>
      </c>
      <c r="B827" s="2"/>
      <c r="C827" s="2" t="str">
        <f>IFERROR(__xludf.DUMMYFUNCTION("""COMPUTED_VALUE"""),"Item")</f>
        <v>Item</v>
      </c>
      <c r="D827" s="2" t="str">
        <f>IFERROR(__xludf.DUMMYFUNCTION("""COMPUTED_VALUE"""),"Legs")</f>
        <v>Legs</v>
      </c>
      <c r="E827" s="2">
        <f>IFERROR(__xludf.DUMMYFUNCTION("""COMPUTED_VALUE"""),200.0)</f>
        <v>200</v>
      </c>
      <c r="F827" s="2" t="str">
        <f>IFERROR(__xludf.DUMMYFUNCTION("""COMPUTED_VALUE"""),"DEF: +10000 ++7500 hp and sp, X2 poison damage")</f>
        <v>DEF: +10000 ++7500 hp and sp, X2 poison damage</v>
      </c>
      <c r="G827" s="2">
        <f>IFERROR(__xludf.DUMMYFUNCTION("""COMPUTED_VALUE"""),1900000.0)</f>
        <v>1900000</v>
      </c>
      <c r="H827" s="2"/>
      <c r="I827" s="2"/>
      <c r="J827" s="2"/>
      <c r="K827" s="2"/>
      <c r="L827" s="2"/>
      <c r="M827" s="2"/>
      <c r="N827" s="2"/>
      <c r="O827" s="2"/>
      <c r="P827" s="2"/>
      <c r="Q827" s="2"/>
      <c r="R827" s="2"/>
      <c r="S827" s="2"/>
      <c r="T827" s="2"/>
      <c r="U827" s="2"/>
      <c r="V827" s="2"/>
      <c r="W827" s="2"/>
      <c r="X827" s="2"/>
      <c r="Y827" s="2"/>
      <c r="Z827" s="2"/>
    </row>
    <row r="828">
      <c r="A828" s="2" t="str">
        <f>IFERROR(__xludf.DUMMYFUNCTION("""COMPUTED_VALUE"""),"Lizard Wizard Pointed Shoes")</f>
        <v>Lizard Wizard Pointed Shoes</v>
      </c>
      <c r="B828" s="2"/>
      <c r="C828" s="2" t="str">
        <f>IFERROR(__xludf.DUMMYFUNCTION("""COMPUTED_VALUE"""),"Item")</f>
        <v>Item</v>
      </c>
      <c r="D828" s="2" t="str">
        <f>IFERROR(__xludf.DUMMYFUNCTION("""COMPUTED_VALUE"""),"Feet")</f>
        <v>Feet</v>
      </c>
      <c r="E828" s="2">
        <f>IFERROR(__xludf.DUMMYFUNCTION("""COMPUTED_VALUE"""),200.0)</f>
        <v>200</v>
      </c>
      <c r="F828" s="2" t="str">
        <f>IFERROR(__xludf.DUMMYFUNCTION("""COMPUTED_VALUE"""),"DEF: +10000 ++7500 hp and sp, X2 poison damage")</f>
        <v>DEF: +10000 ++7500 hp and sp, X2 poison damage</v>
      </c>
      <c r="G828" s="2">
        <f>IFERROR(__xludf.DUMMYFUNCTION("""COMPUTED_VALUE"""),1900000.0)</f>
        <v>1900000</v>
      </c>
      <c r="H828" s="2"/>
      <c r="I828" s="2"/>
      <c r="J828" s="2"/>
      <c r="K828" s="2"/>
      <c r="L828" s="2"/>
      <c r="M828" s="2"/>
      <c r="N828" s="2"/>
      <c r="O828" s="2"/>
      <c r="P828" s="2"/>
      <c r="Q828" s="2"/>
      <c r="R828" s="2"/>
      <c r="S828" s="2"/>
      <c r="T828" s="2"/>
      <c r="U828" s="2"/>
      <c r="V828" s="2"/>
      <c r="W828" s="2"/>
      <c r="X828" s="2"/>
      <c r="Y828" s="2"/>
      <c r="Z828" s="2"/>
    </row>
    <row r="829">
      <c r="A829" s="2" t="str">
        <f>IFERROR(__xludf.DUMMYFUNCTION("""COMPUTED_VALUE"""),"Lizard Wizard Staff of Corroding Blizzard")</f>
        <v>Lizard Wizard Staff of Corroding Blizzard</v>
      </c>
      <c r="B829" s="2"/>
      <c r="C829" s="2" t="str">
        <f>IFERROR(__xludf.DUMMYFUNCTION("""COMPUTED_VALUE"""),"Staff")</f>
        <v>Staff</v>
      </c>
      <c r="D829" s="2" t="str">
        <f>IFERROR(__xludf.DUMMYFUNCTION("""COMPUTED_VALUE"""),"Hand")</f>
        <v>Hand</v>
      </c>
      <c r="E829" s="2">
        <f>IFERROR(__xludf.DUMMYFUNCTION("""COMPUTED_VALUE"""),3000.0)</f>
        <v>3000</v>
      </c>
      <c r="F829" s="2" t="str">
        <f>IFERROR(__xludf.DUMMYFUNCTION("""COMPUTED_VALUE"""),", Light DMG: +50000, Nature DMG: +100000 ++Lizard Wizard's Corrosion Explosion!: Inflicts 5000XWisdom Poison on all enemies sp cost: 1000XWisdom sp. ++Lizard Wizard's Shiny: X5 to all Poison and Nature Damage ")</f>
        <v>, Light DMG: +50000, Nature DMG: +100000 ++Lizard Wizard's Corrosion Explosion!: Inflicts 5000XWisdom Poison on all enemies sp cost: 1000XWisdom sp. ++Lizard Wizard's Shiny: X5 to all Poison and Nature Damage </v>
      </c>
      <c r="G829" s="2">
        <f>IFERROR(__xludf.DUMMYFUNCTION("""COMPUTED_VALUE"""),4.485E8)</f>
        <v>448500000</v>
      </c>
      <c r="H829" s="2"/>
      <c r="I829" s="2"/>
      <c r="J829" s="2"/>
      <c r="K829" s="2"/>
      <c r="L829" s="2"/>
      <c r="M829" s="2"/>
      <c r="N829" s="2"/>
      <c r="O829" s="2"/>
      <c r="P829" s="2"/>
      <c r="Q829" s="2"/>
      <c r="R829" s="2"/>
      <c r="S829" s="2"/>
      <c r="T829" s="2"/>
      <c r="U829" s="2"/>
      <c r="V829" s="2"/>
      <c r="W829" s="2"/>
      <c r="X829" s="2"/>
      <c r="Y829" s="2"/>
      <c r="Z829" s="2"/>
    </row>
    <row r="830">
      <c r="A830" s="2" t="str">
        <f>IFERROR(__xludf.DUMMYFUNCTION("""COMPUTED_VALUE"""),"Lizard Wizard's Prized Ring")</f>
        <v>Lizard Wizard's Prized Ring</v>
      </c>
      <c r="B830" s="2" t="str">
        <f>IFERROR(__xludf.DUMMYFUNCTION("""COMPUTED_VALUE"""),"""The Most Prized shiny of all lizard wizard kind!"" ~Lizard Wizzard Gizzard")</f>
        <v>"The Most Prized shiny of all lizard wizard kind!" ~Lizard Wizzard Gizzard</v>
      </c>
      <c r="C830" s="2" t="str">
        <f>IFERROR(__xludf.DUMMYFUNCTION("""COMPUTED_VALUE"""),"Item")</f>
        <v>Item</v>
      </c>
      <c r="D830" s="2" t="str">
        <f>IFERROR(__xludf.DUMMYFUNCTION("""COMPUTED_VALUE"""),"Finger")</f>
        <v>Finger</v>
      </c>
      <c r="E830" s="2">
        <f>IFERROR(__xludf.DUMMYFUNCTION("""COMPUTED_VALUE"""),2000.0)</f>
        <v>2000</v>
      </c>
      <c r="F830" s="2" t="str">
        <f>IFERROR(__xludf.DUMMYFUNCTION("""COMPUTED_VALUE"""),"DEF: +100000 ++X5 Poison and Nature damage, +5 Wisdom for every enemy poisoned.")</f>
        <v>DEF: +100000 ++X5 Poison and Nature damage, +5 Wisdom for every enemy poisoned.</v>
      </c>
      <c r="G830" s="2">
        <f>IFERROR(__xludf.DUMMYFUNCTION("""COMPUTED_VALUE"""),1.99E8)</f>
        <v>199000000</v>
      </c>
      <c r="H830" s="2"/>
      <c r="I830" s="2"/>
      <c r="J830" s="2"/>
      <c r="K830" s="2"/>
      <c r="L830" s="2"/>
      <c r="M830" s="2"/>
      <c r="N830" s="2"/>
      <c r="O830" s="2"/>
      <c r="P830" s="2"/>
      <c r="Q830" s="2"/>
      <c r="R830" s="2"/>
      <c r="S830" s="2"/>
      <c r="T830" s="2"/>
      <c r="U830" s="2"/>
      <c r="V830" s="2"/>
      <c r="W830" s="2"/>
      <c r="X830" s="2"/>
      <c r="Y830" s="2"/>
      <c r="Z830" s="2"/>
    </row>
    <row r="831">
      <c r="A831" s="2" t="str">
        <f>IFERROR(__xludf.DUMMYFUNCTION("""COMPUTED_VALUE"""),"Lizard Thief's Bandana")</f>
        <v>Lizard Thief's Bandana</v>
      </c>
      <c r="B831" s="2"/>
      <c r="C831" s="2" t="str">
        <f>IFERROR(__xludf.DUMMYFUNCTION("""COMPUTED_VALUE"""),"Item")</f>
        <v>Item</v>
      </c>
      <c r="D831" s="2" t="str">
        <f>IFERROR(__xludf.DUMMYFUNCTION("""COMPUTED_VALUE"""),"Head")</f>
        <v>Head</v>
      </c>
      <c r="E831" s="2">
        <f>IFERROR(__xludf.DUMMYFUNCTION("""COMPUTED_VALUE"""),2000.0)</f>
        <v>2000</v>
      </c>
      <c r="F831" s="2" t="str">
        <f>IFERROR(__xludf.DUMMYFUNCTION("""COMPUTED_VALUE"""),"DEF: +100000 ++15000 ATK and ACC  ++X4 Knife Damage")</f>
        <v>DEF: +100000 ++15000 ATK and ACC  ++X4 Knife Damage</v>
      </c>
      <c r="G831" s="2">
        <f>IFERROR(__xludf.DUMMYFUNCTION("""COMPUTED_VALUE"""),1.99E8)</f>
        <v>199000000</v>
      </c>
      <c r="H831" s="2"/>
      <c r="I831" s="2"/>
      <c r="J831" s="2"/>
      <c r="K831" s="2"/>
      <c r="L831" s="2"/>
      <c r="M831" s="2"/>
      <c r="N831" s="2"/>
      <c r="O831" s="2"/>
      <c r="P831" s="2"/>
      <c r="Q831" s="2"/>
      <c r="R831" s="2"/>
      <c r="S831" s="2"/>
      <c r="T831" s="2"/>
      <c r="U831" s="2"/>
      <c r="V831" s="2"/>
      <c r="W831" s="2"/>
      <c r="X831" s="2"/>
      <c r="Y831" s="2"/>
      <c r="Z831" s="2"/>
    </row>
    <row r="832">
      <c r="A832" s="2" t="str">
        <f>IFERROR(__xludf.DUMMYFUNCTION("""COMPUTED_VALUE"""),"Lizard Thief's Leathers")</f>
        <v>Lizard Thief's Leathers</v>
      </c>
      <c r="B832" s="2"/>
      <c r="C832" s="2" t="str">
        <f>IFERROR(__xludf.DUMMYFUNCTION("""COMPUTED_VALUE"""),"Item")</f>
        <v>Item</v>
      </c>
      <c r="D832" s="2" t="str">
        <f>IFERROR(__xludf.DUMMYFUNCTION("""COMPUTED_VALUE"""),"Torso")</f>
        <v>Torso</v>
      </c>
      <c r="E832" s="2">
        <f>IFERROR(__xludf.DUMMYFUNCTION("""COMPUTED_VALUE"""),2000.0)</f>
        <v>2000</v>
      </c>
      <c r="F832" s="2" t="str">
        <f>IFERROR(__xludf.DUMMYFUNCTION("""COMPUTED_VALUE"""),"DEF: +100000 ++15000 ATK and ACC ++X4 Knife Damage")</f>
        <v>DEF: +100000 ++15000 ATK and ACC ++X4 Knife Damage</v>
      </c>
      <c r="G832" s="2">
        <f>IFERROR(__xludf.DUMMYFUNCTION("""COMPUTED_VALUE"""),1.99E8)</f>
        <v>199000000</v>
      </c>
      <c r="H832" s="2"/>
      <c r="I832" s="2"/>
      <c r="J832" s="2"/>
      <c r="K832" s="2"/>
      <c r="L832" s="2"/>
      <c r="M832" s="2"/>
      <c r="N832" s="2"/>
      <c r="O832" s="2"/>
      <c r="P832" s="2"/>
      <c r="Q832" s="2"/>
      <c r="R832" s="2"/>
      <c r="S832" s="2"/>
      <c r="T832" s="2"/>
      <c r="U832" s="2"/>
      <c r="V832" s="2"/>
      <c r="W832" s="2"/>
      <c r="X832" s="2"/>
      <c r="Y832" s="2"/>
      <c r="Z832" s="2"/>
    </row>
    <row r="833">
      <c r="A833" s="2" t="str">
        <f>IFERROR(__xludf.DUMMYFUNCTION("""COMPUTED_VALUE"""),"Lizard Thief's Pants")</f>
        <v>Lizard Thief's Pants</v>
      </c>
      <c r="B833" s="2"/>
      <c r="C833" s="2" t="str">
        <f>IFERROR(__xludf.DUMMYFUNCTION("""COMPUTED_VALUE"""),"Item")</f>
        <v>Item</v>
      </c>
      <c r="D833" s="2" t="str">
        <f>IFERROR(__xludf.DUMMYFUNCTION("""COMPUTED_VALUE"""),"Legs")</f>
        <v>Legs</v>
      </c>
      <c r="E833" s="2">
        <f>IFERROR(__xludf.DUMMYFUNCTION("""COMPUTED_VALUE"""),2000.0)</f>
        <v>2000</v>
      </c>
      <c r="F833" s="2" t="str">
        <f>IFERROR(__xludf.DUMMYFUNCTION("""COMPUTED_VALUE"""),"DEF: +100000 ++15000 ATK and ACC ++X4 Knife Damage")</f>
        <v>DEF: +100000 ++15000 ATK and ACC ++X4 Knife Damage</v>
      </c>
      <c r="G833" s="2">
        <f>IFERROR(__xludf.DUMMYFUNCTION("""COMPUTED_VALUE"""),1.99E8)</f>
        <v>199000000</v>
      </c>
      <c r="H833" s="2"/>
      <c r="I833" s="2"/>
      <c r="J833" s="2"/>
      <c r="K833" s="2"/>
      <c r="L833" s="2"/>
      <c r="M833" s="2"/>
      <c r="N833" s="2"/>
      <c r="O833" s="2"/>
      <c r="P833" s="2"/>
      <c r="Q833" s="2"/>
      <c r="R833" s="2"/>
      <c r="S833" s="2"/>
      <c r="T833" s="2"/>
      <c r="U833" s="2"/>
      <c r="V833" s="2"/>
      <c r="W833" s="2"/>
      <c r="X833" s="2"/>
      <c r="Y833" s="2"/>
      <c r="Z833" s="2"/>
    </row>
    <row r="834">
      <c r="A834" s="2" t="str">
        <f>IFERROR(__xludf.DUMMYFUNCTION("""COMPUTED_VALUE"""),"Lizard Thief's Boots")</f>
        <v>Lizard Thief's Boots</v>
      </c>
      <c r="B834" s="2"/>
      <c r="C834" s="2" t="str">
        <f>IFERROR(__xludf.DUMMYFUNCTION("""COMPUTED_VALUE"""),"Item")</f>
        <v>Item</v>
      </c>
      <c r="D834" s="2" t="str">
        <f>IFERROR(__xludf.DUMMYFUNCTION("""COMPUTED_VALUE"""),"Feet")</f>
        <v>Feet</v>
      </c>
      <c r="E834" s="2">
        <f>IFERROR(__xludf.DUMMYFUNCTION("""COMPUTED_VALUE"""),2000.0)</f>
        <v>2000</v>
      </c>
      <c r="F834" s="2" t="str">
        <f>IFERROR(__xludf.DUMMYFUNCTION("""COMPUTED_VALUE"""),"DEF: +100000 ++15000 ATK and ACC ++X4 Knife Damage")</f>
        <v>DEF: +100000 ++15000 ATK and ACC ++X4 Knife Damage</v>
      </c>
      <c r="G834" s="2">
        <f>IFERROR(__xludf.DUMMYFUNCTION("""COMPUTED_VALUE"""),1.99E8)</f>
        <v>199000000</v>
      </c>
      <c r="H834" s="2"/>
      <c r="I834" s="2"/>
      <c r="J834" s="2"/>
      <c r="K834" s="2"/>
      <c r="L834" s="2"/>
      <c r="M834" s="2"/>
      <c r="N834" s="2"/>
      <c r="O834" s="2"/>
      <c r="P834" s="2"/>
      <c r="Q834" s="2"/>
      <c r="R834" s="2"/>
      <c r="S834" s="2"/>
      <c r="T834" s="2"/>
      <c r="U834" s="2"/>
      <c r="V834" s="2"/>
      <c r="W834" s="2"/>
      <c r="X834" s="2"/>
      <c r="Y834" s="2"/>
      <c r="Z834" s="2"/>
    </row>
    <row r="835">
      <c r="A835" s="2" t="str">
        <f>IFERROR(__xludf.DUMMYFUNCTION("""COMPUTED_VALUE"""),"Lizard Thief's Shiny Swiper")</f>
        <v>Lizard Thief's Shiny Swiper</v>
      </c>
      <c r="B835" s="2"/>
      <c r="C835" s="2" t="str">
        <f>IFERROR(__xludf.DUMMYFUNCTION("""COMPUTED_VALUE"""),"Knife")</f>
        <v>Knife</v>
      </c>
      <c r="D835" s="2" t="str">
        <f>IFERROR(__xludf.DUMMYFUNCTION("""COMPUTED_VALUE"""),"Hand")</f>
        <v>Hand</v>
      </c>
      <c r="E835" s="2">
        <f>IFERROR(__xludf.DUMMYFUNCTION("""COMPUTED_VALUE"""),3000.0)</f>
        <v>3000</v>
      </c>
      <c r="F835" s="2" t="str">
        <f>IFERROR(__xludf.DUMMYFUNCTION("""COMPUTED_VALUE"""),"DMG: +150000 ++Shiny Snatchery - +5 to all rolls when stealing an item. ++If the wearer successfully steals an item from an enemy +5 mobility for the next 3 rounds. +-effects do not stack")</f>
        <v>DMG: +150000 ++Shiny Snatchery - +5 to all rolls when stealing an item. ++If the wearer successfully steals an item from an enemy +5 mobility for the next 3 rounds. +-effects do not stack</v>
      </c>
      <c r="G835" s="2">
        <f>IFERROR(__xludf.DUMMYFUNCTION("""COMPUTED_VALUE"""),4.485E8)</f>
        <v>448500000</v>
      </c>
      <c r="H835" s="2"/>
      <c r="I835" s="2"/>
      <c r="J835" s="2"/>
      <c r="K835" s="2"/>
      <c r="L835" s="2"/>
      <c r="M835" s="2"/>
      <c r="N835" s="2"/>
      <c r="O835" s="2"/>
      <c r="P835" s="2"/>
      <c r="Q835" s="2"/>
      <c r="R835" s="2"/>
      <c r="S835" s="2"/>
      <c r="T835" s="2"/>
      <c r="U835" s="2"/>
      <c r="V835" s="2"/>
      <c r="W835" s="2"/>
      <c r="X835" s="2"/>
      <c r="Y835" s="2"/>
      <c r="Z835" s="2"/>
    </row>
    <row r="836">
      <c r="A836" s="2" t="str">
        <f>IFERROR(__xludf.DUMMYFUNCTION("""COMPUTED_VALUE"""),"Wyrmstone Club")</f>
        <v>Wyrmstone Club</v>
      </c>
      <c r="B836" s="2"/>
      <c r="C836" s="2" t="str">
        <f>IFERROR(__xludf.DUMMYFUNCTION("""COMPUTED_VALUE"""),"Club")</f>
        <v>Club</v>
      </c>
      <c r="D836" s="2" t="str">
        <f>IFERROR(__xludf.DUMMYFUNCTION("""COMPUTED_VALUE"""),"Hand")</f>
        <v>Hand</v>
      </c>
      <c r="E836" s="2">
        <f>IFERROR(__xludf.DUMMYFUNCTION("""COMPUTED_VALUE"""),2000.0)</f>
        <v>2000</v>
      </c>
      <c r="F836" s="2" t="str">
        <f>IFERROR(__xludf.DUMMYFUNCTION("""COMPUTED_VALUE"""),"DMG: +100000 +- Half damage against dragons")</f>
        <v>DMG: +100000 +- Half damage against dragons</v>
      </c>
      <c r="G836" s="2">
        <f>IFERROR(__xludf.DUMMYFUNCTION("""COMPUTED_VALUE"""),1.99E8)</f>
        <v>199000000</v>
      </c>
      <c r="H836" s="2"/>
      <c r="I836" s="2"/>
      <c r="J836" s="2"/>
      <c r="K836" s="2"/>
      <c r="L836" s="2"/>
      <c r="M836" s="2"/>
      <c r="N836" s="2"/>
      <c r="O836" s="2"/>
      <c r="P836" s="2"/>
      <c r="Q836" s="2"/>
      <c r="R836" s="2"/>
      <c r="S836" s="2"/>
      <c r="T836" s="2"/>
      <c r="U836" s="2"/>
      <c r="V836" s="2"/>
      <c r="W836" s="2"/>
      <c r="X836" s="2"/>
      <c r="Y836" s="2"/>
      <c r="Z836" s="2"/>
    </row>
    <row r="837">
      <c r="A837" s="2" t="str">
        <f>IFERROR(__xludf.DUMMYFUNCTION("""COMPUTED_VALUE"""),"Wyrmstone Mail")</f>
        <v>Wyrmstone Mail</v>
      </c>
      <c r="B837" s="2"/>
      <c r="C837" s="2" t="str">
        <f>IFERROR(__xludf.DUMMYFUNCTION("""COMPUTED_VALUE"""),"Item")</f>
        <v>Item</v>
      </c>
      <c r="D837" s="2" t="str">
        <f>IFERROR(__xludf.DUMMYFUNCTION("""COMPUTED_VALUE"""),"Torso")</f>
        <v>Torso</v>
      </c>
      <c r="E837" s="2">
        <f>IFERROR(__xludf.DUMMYFUNCTION("""COMPUTED_VALUE"""),2800.0)</f>
        <v>2800</v>
      </c>
      <c r="F837" s="2" t="str">
        <f>IFERROR(__xludf.DUMMYFUNCTION("""COMPUTED_VALUE"""),"DEF: +140000 ++Half damage received from dragons +-Cannot be forged or duplicated")</f>
        <v>DEF: +140000 ++Half damage received from dragons +-Cannot be forged or duplicated</v>
      </c>
      <c r="G837" s="2">
        <f>IFERROR(__xludf.DUMMYFUNCTION("""COMPUTED_VALUE"""),3.906E8)</f>
        <v>390600000</v>
      </c>
      <c r="H837" s="2"/>
      <c r="I837" s="2"/>
      <c r="J837" s="2"/>
      <c r="K837" s="2"/>
      <c r="L837" s="2"/>
      <c r="M837" s="2"/>
      <c r="N837" s="2"/>
      <c r="O837" s="2"/>
      <c r="P837" s="2"/>
      <c r="Q837" s="2"/>
      <c r="R837" s="2"/>
      <c r="S837" s="2"/>
      <c r="T837" s="2"/>
      <c r="U837" s="2"/>
      <c r="V837" s="2"/>
      <c r="W837" s="2"/>
      <c r="X837" s="2"/>
      <c r="Y837" s="2"/>
      <c r="Z837" s="2"/>
    </row>
    <row r="838">
      <c r="A838" s="2" t="str">
        <f>IFERROR(__xludf.DUMMYFUNCTION("""COMPUTED_VALUE"""),"Wyrmstone Helm")</f>
        <v>Wyrmstone Helm</v>
      </c>
      <c r="B838" s="2"/>
      <c r="C838" s="2" t="str">
        <f>IFERROR(__xludf.DUMMYFUNCTION("""COMPUTED_VALUE"""),"Item")</f>
        <v>Item</v>
      </c>
      <c r="D838" s="2" t="str">
        <f>IFERROR(__xludf.DUMMYFUNCTION("""COMPUTED_VALUE"""),"Head")</f>
        <v>Head</v>
      </c>
      <c r="E838" s="2">
        <f>IFERROR(__xludf.DUMMYFUNCTION("""COMPUTED_VALUE"""),2400.0)</f>
        <v>2400</v>
      </c>
      <c r="F838" s="2" t="str">
        <f>IFERROR(__xludf.DUMMYFUNCTION("""COMPUTED_VALUE"""),"DEF: +120000 +-Cannot be forged or duplicated")</f>
        <v>DEF: +120000 +-Cannot be forged or duplicated</v>
      </c>
      <c r="G838" s="2">
        <f>IFERROR(__xludf.DUMMYFUNCTION("""COMPUTED_VALUE"""),2.868E8)</f>
        <v>286800000</v>
      </c>
      <c r="H838" s="2"/>
      <c r="I838" s="2"/>
      <c r="J838" s="2"/>
      <c r="K838" s="2"/>
      <c r="L838" s="2"/>
      <c r="M838" s="2"/>
      <c r="N838" s="2"/>
      <c r="O838" s="2"/>
      <c r="P838" s="2"/>
      <c r="Q838" s="2"/>
      <c r="R838" s="2"/>
      <c r="S838" s="2"/>
      <c r="T838" s="2"/>
      <c r="U838" s="2"/>
      <c r="V838" s="2"/>
      <c r="W838" s="2"/>
      <c r="X838" s="2"/>
      <c r="Y838" s="2"/>
      <c r="Z838" s="2"/>
    </row>
    <row r="839">
      <c r="A839" s="2" t="str">
        <f>IFERROR(__xludf.DUMMYFUNCTION("""COMPUTED_VALUE"""),"Wyrmstone Buckler")</f>
        <v>Wyrmstone Buckler</v>
      </c>
      <c r="B839" s="2"/>
      <c r="C839" s="2" t="str">
        <f>IFERROR(__xludf.DUMMYFUNCTION("""COMPUTED_VALUE"""),"Buckler")</f>
        <v>Buckler</v>
      </c>
      <c r="D839" s="2" t="str">
        <f>IFERROR(__xludf.DUMMYFUNCTION("""COMPUTED_VALUE"""),"Hand")</f>
        <v>Hand</v>
      </c>
      <c r="E839" s="2">
        <f>IFERROR(__xludf.DUMMYFUNCTION("""COMPUTED_VALUE"""),3000.0)</f>
        <v>3000</v>
      </c>
      <c r="F839" s="2" t="str">
        <f>IFERROR(__xludf.DUMMYFUNCTION("""COMPUTED_VALUE"""),"DEF: +150000 ++25% chance to parry dragons' attacks +-Cannot be forged or duplicated")</f>
        <v>DEF: +150000 ++25% chance to parry dragons' attacks +-Cannot be forged or duplicated</v>
      </c>
      <c r="G839" s="2">
        <f>IFERROR(__xludf.DUMMYFUNCTION("""COMPUTED_VALUE"""),4.485E8)</f>
        <v>448500000</v>
      </c>
      <c r="H839" s="2"/>
      <c r="I839" s="2"/>
      <c r="J839" s="2"/>
      <c r="K839" s="2"/>
      <c r="L839" s="2"/>
      <c r="M839" s="2"/>
      <c r="N839" s="2"/>
      <c r="O839" s="2"/>
      <c r="P839" s="2"/>
      <c r="Q839" s="2"/>
      <c r="R839" s="2"/>
      <c r="S839" s="2"/>
      <c r="T839" s="2"/>
      <c r="U839" s="2"/>
      <c r="V839" s="2"/>
      <c r="W839" s="2"/>
      <c r="X839" s="2"/>
      <c r="Y839" s="2"/>
      <c r="Z839" s="2"/>
    </row>
    <row r="840">
      <c r="A840" s="2" t="str">
        <f>IFERROR(__xludf.DUMMYFUNCTION("""COMPUTED_VALUE"""),"Wyrmstone Gauntlet")</f>
        <v>Wyrmstone Gauntlet</v>
      </c>
      <c r="B840" s="2"/>
      <c r="C840" s="2" t="str">
        <f>IFERROR(__xludf.DUMMYFUNCTION("""COMPUTED_VALUE"""),"Gauntlet")</f>
        <v>Gauntlet</v>
      </c>
      <c r="D840" s="2" t="str">
        <f>IFERROR(__xludf.DUMMYFUNCTION("""COMPUTED_VALUE"""),"Hand")</f>
        <v>Hand</v>
      </c>
      <c r="E840" s="2">
        <f>IFERROR(__xludf.DUMMYFUNCTION("""COMPUTED_VALUE"""),3000.0)</f>
        <v>3000</v>
      </c>
      <c r="F840" s="2" t="str">
        <f>IFERROR(__xludf.DUMMYFUNCTION("""COMPUTED_VALUE"""),"DEF: +125000, Light DEF: +25000")</f>
        <v>DEF: +125000, Light DEF: +25000</v>
      </c>
      <c r="G840" s="2">
        <f>IFERROR(__xludf.DUMMYFUNCTION("""COMPUTED_VALUE"""),4.485E8)</f>
        <v>448500000</v>
      </c>
      <c r="H840" s="2"/>
      <c r="I840" s="2"/>
      <c r="J840" s="2"/>
      <c r="K840" s="2"/>
      <c r="L840" s="2"/>
      <c r="M840" s="2"/>
      <c r="N840" s="2"/>
      <c r="O840" s="2"/>
      <c r="P840" s="2"/>
      <c r="Q840" s="2"/>
      <c r="R840" s="2"/>
      <c r="S840" s="2"/>
      <c r="T840" s="2"/>
      <c r="U840" s="2"/>
      <c r="V840" s="2"/>
      <c r="W840" s="2"/>
      <c r="X840" s="2"/>
      <c r="Y840" s="2"/>
      <c r="Z840" s="2"/>
    </row>
    <row r="841">
      <c r="A841" s="2" t="str">
        <f>IFERROR(__xludf.DUMMYFUNCTION("""COMPUTED_VALUE"""),"Wyrmstone Leggings")</f>
        <v>Wyrmstone Leggings</v>
      </c>
      <c r="B841" s="2"/>
      <c r="C841" s="2" t="str">
        <f>IFERROR(__xludf.DUMMYFUNCTION("""COMPUTED_VALUE"""),"Item")</f>
        <v>Item</v>
      </c>
      <c r="D841" s="2" t="str">
        <f>IFERROR(__xludf.DUMMYFUNCTION("""COMPUTED_VALUE"""),"Legs")</f>
        <v>Legs</v>
      </c>
      <c r="E841" s="2">
        <f>IFERROR(__xludf.DUMMYFUNCTION("""COMPUTED_VALUE"""),2000.0)</f>
        <v>2000</v>
      </c>
      <c r="F841" s="2" t="str">
        <f>IFERROR(__xludf.DUMMYFUNCTION("""COMPUTED_VALUE"""),"DEF: +100000")</f>
        <v>DEF: +100000</v>
      </c>
      <c r="G841" s="2">
        <f>IFERROR(__xludf.DUMMYFUNCTION("""COMPUTED_VALUE"""),1.99E8)</f>
        <v>199000000</v>
      </c>
      <c r="H841" s="2"/>
      <c r="I841" s="2"/>
      <c r="J841" s="2"/>
      <c r="K841" s="2"/>
      <c r="L841" s="2"/>
      <c r="M841" s="2"/>
      <c r="N841" s="2"/>
      <c r="O841" s="2"/>
      <c r="P841" s="2"/>
      <c r="Q841" s="2"/>
      <c r="R841" s="2"/>
      <c r="S841" s="2"/>
      <c r="T841" s="2"/>
      <c r="U841" s="2"/>
      <c r="V841" s="2"/>
      <c r="W841" s="2"/>
      <c r="X841" s="2"/>
      <c r="Y841" s="2"/>
      <c r="Z841" s="2"/>
    </row>
    <row r="842">
      <c r="A842" s="2" t="str">
        <f>IFERROR(__xludf.DUMMYFUNCTION("""COMPUTED_VALUE"""),"Wyrmstone Lance")</f>
        <v>Wyrmstone Lance</v>
      </c>
      <c r="B842" s="2"/>
      <c r="C842" s="2" t="str">
        <f>IFERROR(__xludf.DUMMYFUNCTION("""COMPUTED_VALUE"""),"Spear")</f>
        <v>Spear</v>
      </c>
      <c r="D842" s="2" t="str">
        <f>IFERROR(__xludf.DUMMYFUNCTION("""COMPUTED_VALUE"""),"Hand")</f>
        <v>Hand</v>
      </c>
      <c r="E842" s="2">
        <f>IFERROR(__xludf.DUMMYFUNCTION("""COMPUTED_VALUE"""),2000.0)</f>
        <v>2000</v>
      </c>
      <c r="F842" s="2" t="str">
        <f>IFERROR(__xludf.DUMMYFUNCTION("""COMPUTED_VALUE"""),"DMG: +100000 ++Damage doubles if used two turns in a row +-Cannot be forged or duplicated")</f>
        <v>DMG: +100000 ++Damage doubles if used two turns in a row +-Cannot be forged or duplicated</v>
      </c>
      <c r="G842" s="2">
        <f>IFERROR(__xludf.DUMMYFUNCTION("""COMPUTED_VALUE"""),1.99E8)</f>
        <v>199000000</v>
      </c>
      <c r="H842" s="2"/>
      <c r="I842" s="2"/>
      <c r="J842" s="2"/>
      <c r="K842" s="2"/>
      <c r="L842" s="2"/>
      <c r="M842" s="2"/>
      <c r="N842" s="2"/>
      <c r="O842" s="2"/>
      <c r="P842" s="2"/>
      <c r="Q842" s="2"/>
      <c r="R842" s="2"/>
      <c r="S842" s="2"/>
      <c r="T842" s="2"/>
      <c r="U842" s="2"/>
      <c r="V842" s="2"/>
      <c r="W842" s="2"/>
      <c r="X842" s="2"/>
      <c r="Y842" s="2"/>
      <c r="Z842" s="2"/>
    </row>
    <row r="843">
      <c r="A843" s="2" t="str">
        <f>IFERROR(__xludf.DUMMYFUNCTION("""COMPUTED_VALUE"""),"Wyrmstone Nails")</f>
        <v>Wyrmstone Nails</v>
      </c>
      <c r="B843" s="2"/>
      <c r="C843" s="2" t="str">
        <f>IFERROR(__xludf.DUMMYFUNCTION("""COMPUTED_VALUE"""),"Claw")</f>
        <v>Claw</v>
      </c>
      <c r="D843" s="2" t="str">
        <f>IFERROR(__xludf.DUMMYFUNCTION("""COMPUTED_VALUE"""),"Hand")</f>
        <v>Hand</v>
      </c>
      <c r="E843" s="2">
        <f>IFERROR(__xludf.DUMMYFUNCTION("""COMPUTED_VALUE"""),2600.0)</f>
        <v>2600</v>
      </c>
      <c r="F843" s="2" t="str">
        <f>IFERROR(__xludf.DUMMYFUNCTION("""COMPUTED_VALUE"""),"DMG: +130000")</f>
        <v>DMG: +130000</v>
      </c>
      <c r="G843" s="2">
        <f>IFERROR(__xludf.DUMMYFUNCTION("""COMPUTED_VALUE"""),3.367E8)</f>
        <v>336700000</v>
      </c>
      <c r="H843" s="2"/>
      <c r="I843" s="2"/>
      <c r="J843" s="2"/>
      <c r="K843" s="2"/>
      <c r="L843" s="2"/>
      <c r="M843" s="2"/>
      <c r="N843" s="2"/>
      <c r="O843" s="2"/>
      <c r="P843" s="2"/>
      <c r="Q843" s="2"/>
      <c r="R843" s="2"/>
      <c r="S843" s="2"/>
      <c r="T843" s="2"/>
      <c r="U843" s="2"/>
      <c r="V843" s="2"/>
      <c r="W843" s="2"/>
      <c r="X843" s="2"/>
      <c r="Y843" s="2"/>
      <c r="Z843" s="2"/>
    </row>
    <row r="844">
      <c r="A844" s="2" t="str">
        <f>IFERROR(__xludf.DUMMYFUNCTION("""COMPUTED_VALUE"""),"Lizard Warrior's Scale Helm")</f>
        <v>Lizard Warrior's Scale Helm</v>
      </c>
      <c r="B844" s="2"/>
      <c r="C844" s="2" t="str">
        <f>IFERROR(__xludf.DUMMYFUNCTION("""COMPUTED_VALUE"""),"Item")</f>
        <v>Item</v>
      </c>
      <c r="D844" s="2" t="str">
        <f>IFERROR(__xludf.DUMMYFUNCTION("""COMPUTED_VALUE"""),"Head")</f>
        <v>Head</v>
      </c>
      <c r="E844" s="2">
        <f>IFERROR(__xludf.DUMMYFUNCTION("""COMPUTED_VALUE"""),3000.0)</f>
        <v>3000</v>
      </c>
      <c r="F844" s="2" t="str">
        <f>IFERROR(__xludf.DUMMYFUNCTION("""COMPUTED_VALUE"""),"DEF: +100000, Nature DEF: +50000")</f>
        <v>DEF: +100000, Nature DEF: +50000</v>
      </c>
      <c r="G844" s="2">
        <f>IFERROR(__xludf.DUMMYFUNCTION("""COMPUTED_VALUE"""),4.485E8)</f>
        <v>448500000</v>
      </c>
      <c r="H844" s="2"/>
      <c r="I844" s="2"/>
      <c r="J844" s="2"/>
      <c r="K844" s="2"/>
      <c r="L844" s="2"/>
      <c r="M844" s="2"/>
      <c r="N844" s="2"/>
      <c r="O844" s="2"/>
      <c r="P844" s="2"/>
      <c r="Q844" s="2"/>
      <c r="R844" s="2"/>
      <c r="S844" s="2"/>
      <c r="T844" s="2"/>
      <c r="U844" s="2"/>
      <c r="V844" s="2"/>
      <c r="W844" s="2"/>
      <c r="X844" s="2"/>
      <c r="Y844" s="2"/>
      <c r="Z844" s="2"/>
    </row>
    <row r="845">
      <c r="A845" s="2" t="str">
        <f>IFERROR(__xludf.DUMMYFUNCTION("""COMPUTED_VALUE"""),"Lizard Warrior's Scaled Pauldrons")</f>
        <v>Lizard Warrior's Scaled Pauldrons</v>
      </c>
      <c r="B845" s="2"/>
      <c r="C845" s="2" t="str">
        <f>IFERROR(__xludf.DUMMYFUNCTION("""COMPUTED_VALUE"""),"Item")</f>
        <v>Item</v>
      </c>
      <c r="D845" s="2" t="str">
        <f>IFERROR(__xludf.DUMMYFUNCTION("""COMPUTED_VALUE"""),"Shoulders")</f>
        <v>Shoulders</v>
      </c>
      <c r="E845" s="2">
        <f>IFERROR(__xludf.DUMMYFUNCTION("""COMPUTED_VALUE"""),3000.0)</f>
        <v>3000</v>
      </c>
      <c r="F845" s="2" t="str">
        <f>IFERROR(__xludf.DUMMYFUNCTION("""COMPUTED_VALUE"""),"DEF: +100000, Nature DEF: +50000")</f>
        <v>DEF: +100000, Nature DEF: +50000</v>
      </c>
      <c r="G845" s="2">
        <f>IFERROR(__xludf.DUMMYFUNCTION("""COMPUTED_VALUE"""),4.485E8)</f>
        <v>448500000</v>
      </c>
      <c r="H845" s="2"/>
      <c r="I845" s="2"/>
      <c r="J845" s="2"/>
      <c r="K845" s="2"/>
      <c r="L845" s="2"/>
      <c r="M845" s="2"/>
      <c r="N845" s="2"/>
      <c r="O845" s="2"/>
      <c r="P845" s="2"/>
      <c r="Q845" s="2"/>
      <c r="R845" s="2"/>
      <c r="S845" s="2"/>
      <c r="T845" s="2"/>
      <c r="U845" s="2"/>
      <c r="V845" s="2"/>
      <c r="W845" s="2"/>
      <c r="X845" s="2"/>
      <c r="Y845" s="2"/>
      <c r="Z845" s="2"/>
    </row>
    <row r="846">
      <c r="A846" s="2" t="str">
        <f>IFERROR(__xludf.DUMMYFUNCTION("""COMPUTED_VALUE"""),"Lizard Warrior's Scaled Chest")</f>
        <v>Lizard Warrior's Scaled Chest</v>
      </c>
      <c r="B846" s="2"/>
      <c r="C846" s="2" t="str">
        <f>IFERROR(__xludf.DUMMYFUNCTION("""COMPUTED_VALUE"""),"Item")</f>
        <v>Item</v>
      </c>
      <c r="D846" s="2" t="str">
        <f>IFERROR(__xludf.DUMMYFUNCTION("""COMPUTED_VALUE"""),"Torso")</f>
        <v>Torso</v>
      </c>
      <c r="E846" s="2">
        <f>IFERROR(__xludf.DUMMYFUNCTION("""COMPUTED_VALUE"""),3000.0)</f>
        <v>3000</v>
      </c>
      <c r="F846" s="2" t="str">
        <f>IFERROR(__xludf.DUMMYFUNCTION("""COMPUTED_VALUE"""),"DEF: +100000, Nature DEF: +50000 ++When the wearer is attacked, the one that attacked them takes 15000 poison for 3 rounds")</f>
        <v>DEF: +100000, Nature DEF: +50000 ++When the wearer is attacked, the one that attacked them takes 15000 poison for 3 rounds</v>
      </c>
      <c r="G846" s="2">
        <f>IFERROR(__xludf.DUMMYFUNCTION("""COMPUTED_VALUE"""),4.485E8)</f>
        <v>448500000</v>
      </c>
      <c r="H846" s="2"/>
      <c r="I846" s="2"/>
      <c r="J846" s="2"/>
      <c r="K846" s="2"/>
      <c r="L846" s="2"/>
      <c r="M846" s="2"/>
      <c r="N846" s="2"/>
      <c r="O846" s="2"/>
      <c r="P846" s="2"/>
      <c r="Q846" s="2"/>
      <c r="R846" s="2"/>
      <c r="S846" s="2"/>
      <c r="T846" s="2"/>
      <c r="U846" s="2"/>
      <c r="V846" s="2"/>
      <c r="W846" s="2"/>
      <c r="X846" s="2"/>
      <c r="Y846" s="2"/>
      <c r="Z846" s="2"/>
    </row>
    <row r="847">
      <c r="A847" s="2" t="str">
        <f>IFERROR(__xludf.DUMMYFUNCTION("""COMPUTED_VALUE"""),"Lizard Warrior's Scaled Arms")</f>
        <v>Lizard Warrior's Scaled Arms</v>
      </c>
      <c r="B847" s="2"/>
      <c r="C847" s="2" t="str">
        <f>IFERROR(__xludf.DUMMYFUNCTION("""COMPUTED_VALUE"""),"Item")</f>
        <v>Item</v>
      </c>
      <c r="D847" s="2" t="str">
        <f>IFERROR(__xludf.DUMMYFUNCTION("""COMPUTED_VALUE"""),"Arms")</f>
        <v>Arms</v>
      </c>
      <c r="E847" s="2">
        <f>IFERROR(__xludf.DUMMYFUNCTION("""COMPUTED_VALUE"""),3000.0)</f>
        <v>3000</v>
      </c>
      <c r="F847" s="2" t="str">
        <f>IFERROR(__xludf.DUMMYFUNCTION("""COMPUTED_VALUE"""),"DEF: +100000, Nature DEF: +50000 ++7500 DEF for every enemy currently poisoned (Max 37500)")</f>
        <v>DEF: +100000, Nature DEF: +50000 ++7500 DEF for every enemy currently poisoned (Max 37500)</v>
      </c>
      <c r="G847" s="2">
        <f>IFERROR(__xludf.DUMMYFUNCTION("""COMPUTED_VALUE"""),4.485E8)</f>
        <v>448500000</v>
      </c>
      <c r="H847" s="2"/>
      <c r="I847" s="2"/>
      <c r="J847" s="2"/>
      <c r="K847" s="2"/>
      <c r="L847" s="2"/>
      <c r="M847" s="2"/>
      <c r="N847" s="2"/>
      <c r="O847" s="2"/>
      <c r="P847" s="2"/>
      <c r="Q847" s="2"/>
      <c r="R847" s="2"/>
      <c r="S847" s="2"/>
      <c r="T847" s="2"/>
      <c r="U847" s="2"/>
      <c r="V847" s="2"/>
      <c r="W847" s="2"/>
      <c r="X847" s="2"/>
      <c r="Y847" s="2"/>
      <c r="Z847" s="2"/>
    </row>
    <row r="848">
      <c r="A848" s="2" t="str">
        <f>IFERROR(__xludf.DUMMYFUNCTION("""COMPUTED_VALUE"""),"Lizard Warrior's Bracelets")</f>
        <v>Lizard Warrior's Bracelets</v>
      </c>
      <c r="B848" s="2"/>
      <c r="C848" s="2" t="str">
        <f>IFERROR(__xludf.DUMMYFUNCTION("""COMPUTED_VALUE"""),"Item")</f>
        <v>Item</v>
      </c>
      <c r="D848" s="2" t="str">
        <f>IFERROR(__xludf.DUMMYFUNCTION("""COMPUTED_VALUE"""),"Arms")</f>
        <v>Arms</v>
      </c>
      <c r="E848" s="2">
        <f>IFERROR(__xludf.DUMMYFUNCTION("""COMPUTED_VALUE"""),3000.0)</f>
        <v>3000</v>
      </c>
      <c r="F848" s="2" t="str">
        <f>IFERROR(__xludf.DUMMYFUNCTION("""COMPUTED_VALUE"""),"DEF: +100000, Nature DEF: +50000 ++5000 ACC for every enemy currently poisoned (Max 25000)")</f>
        <v>DEF: +100000, Nature DEF: +50000 ++5000 ACC for every enemy currently poisoned (Max 25000)</v>
      </c>
      <c r="G848" s="2">
        <f>IFERROR(__xludf.DUMMYFUNCTION("""COMPUTED_VALUE"""),4.485E8)</f>
        <v>448500000</v>
      </c>
      <c r="H848" s="2"/>
      <c r="I848" s="2"/>
      <c r="J848" s="2"/>
      <c r="K848" s="2"/>
      <c r="L848" s="2"/>
      <c r="M848" s="2"/>
      <c r="N848" s="2"/>
      <c r="O848" s="2"/>
      <c r="P848" s="2"/>
      <c r="Q848" s="2"/>
      <c r="R848" s="2"/>
      <c r="S848" s="2"/>
      <c r="T848" s="2"/>
      <c r="U848" s="2"/>
      <c r="V848" s="2"/>
      <c r="W848" s="2"/>
      <c r="X848" s="2"/>
      <c r="Y848" s="2"/>
      <c r="Z848" s="2"/>
    </row>
    <row r="849">
      <c r="A849" s="2" t="str">
        <f>IFERROR(__xludf.DUMMYFUNCTION("""COMPUTED_VALUE"""),"Lizard Warrior's Scaled Legs")</f>
        <v>Lizard Warrior's Scaled Legs</v>
      </c>
      <c r="B849" s="2"/>
      <c r="C849" s="2" t="str">
        <f>IFERROR(__xludf.DUMMYFUNCTION("""COMPUTED_VALUE"""),"Item")</f>
        <v>Item</v>
      </c>
      <c r="D849" s="2" t="str">
        <f>IFERROR(__xludf.DUMMYFUNCTION("""COMPUTED_VALUE"""),"Legs")</f>
        <v>Legs</v>
      </c>
      <c r="E849" s="2">
        <f>IFERROR(__xludf.DUMMYFUNCTION("""COMPUTED_VALUE"""),3000.0)</f>
        <v>3000</v>
      </c>
      <c r="F849" s="2" t="str">
        <f>IFERROR(__xludf.DUMMYFUNCTION("""COMPUTED_VALUE"""),"DEF: +100000, Nature DEF: +50000 ++5000 ATK for every enemy currently poisoned (Max 25000)")</f>
        <v>DEF: +100000, Nature DEF: +50000 ++5000 ATK for every enemy currently poisoned (Max 25000)</v>
      </c>
      <c r="G849" s="2">
        <f>IFERROR(__xludf.DUMMYFUNCTION("""COMPUTED_VALUE"""),4.485E8)</f>
        <v>448500000</v>
      </c>
      <c r="H849" s="2"/>
      <c r="I849" s="2"/>
      <c r="J849" s="2"/>
      <c r="K849" s="2"/>
      <c r="L849" s="2"/>
      <c r="M849" s="2"/>
      <c r="N849" s="2"/>
      <c r="O849" s="2"/>
      <c r="P849" s="2"/>
      <c r="Q849" s="2"/>
      <c r="R849" s="2"/>
      <c r="S849" s="2"/>
      <c r="T849" s="2"/>
      <c r="U849" s="2"/>
      <c r="V849" s="2"/>
      <c r="W849" s="2"/>
      <c r="X849" s="2"/>
      <c r="Y849" s="2"/>
      <c r="Z849" s="2"/>
    </row>
    <row r="850">
      <c r="A850" s="2" t="str">
        <f>IFERROR(__xludf.DUMMYFUNCTION("""COMPUTED_VALUE"""),"Lizard Warrior's Scaled Boots")</f>
        <v>Lizard Warrior's Scaled Boots</v>
      </c>
      <c r="B850" s="2"/>
      <c r="C850" s="2" t="str">
        <f>IFERROR(__xludf.DUMMYFUNCTION("""COMPUTED_VALUE"""),"Item")</f>
        <v>Item</v>
      </c>
      <c r="D850" s="2" t="str">
        <f>IFERROR(__xludf.DUMMYFUNCTION("""COMPUTED_VALUE"""),"Feet")</f>
        <v>Feet</v>
      </c>
      <c r="E850" s="2">
        <f>IFERROR(__xludf.DUMMYFUNCTION("""COMPUTED_VALUE"""),3000.0)</f>
        <v>3000</v>
      </c>
      <c r="F850" s="2" t="str">
        <f>IFERROR(__xludf.DUMMYFUNCTION("""COMPUTED_VALUE"""),"DEF: +100000, Nature DEF: +50000 ++1 Mobility for every enemy currently poisoned (Max 5)")</f>
        <v>DEF: +100000, Nature DEF: +50000 ++1 Mobility for every enemy currently poisoned (Max 5)</v>
      </c>
      <c r="G850" s="2">
        <f>IFERROR(__xludf.DUMMYFUNCTION("""COMPUTED_VALUE"""),4.485E8)</f>
        <v>448500000</v>
      </c>
      <c r="H850" s="2"/>
      <c r="I850" s="2"/>
      <c r="J850" s="2"/>
      <c r="K850" s="2"/>
      <c r="L850" s="2"/>
      <c r="M850" s="2"/>
      <c r="N850" s="2"/>
      <c r="O850" s="2"/>
      <c r="P850" s="2"/>
      <c r="Q850" s="2"/>
      <c r="R850" s="2"/>
      <c r="S850" s="2"/>
      <c r="T850" s="2"/>
      <c r="U850" s="2"/>
      <c r="V850" s="2"/>
      <c r="W850" s="2"/>
      <c r="X850" s="2"/>
      <c r="Y850" s="2"/>
      <c r="Z850" s="2"/>
    </row>
    <row r="851">
      <c r="A851" s="2" t="str">
        <f>IFERROR(__xludf.DUMMYFUNCTION("""COMPUTED_VALUE"""),"Lizard Warrior's Claw")</f>
        <v>Lizard Warrior's Claw</v>
      </c>
      <c r="B851" s="2"/>
      <c r="C851" s="2" t="str">
        <f>IFERROR(__xludf.DUMMYFUNCTION("""COMPUTED_VALUE"""),"Claw")</f>
        <v>Claw</v>
      </c>
      <c r="D851" s="2" t="str">
        <f>IFERROR(__xludf.DUMMYFUNCTION("""COMPUTED_VALUE"""),"Hand")</f>
        <v>Hand</v>
      </c>
      <c r="E851" s="2">
        <f>IFERROR(__xludf.DUMMYFUNCTION("""COMPUTED_VALUE"""),3000.0)</f>
        <v>3000</v>
      </c>
      <c r="F851" s="2" t="str">
        <f>IFERROR(__xludf.DUMMYFUNCTION("""COMPUTED_VALUE"""),"DMG: +100000, Nature DMG: +50000 ++X20 damage against poisoned enemies, All damage dealt against poisoned enemies with this item is poison damage.")</f>
        <v>DMG: +100000, Nature DMG: +50000 ++X20 damage against poisoned enemies, All damage dealt against poisoned enemies with this item is poison damage.</v>
      </c>
      <c r="G851" s="2">
        <f>IFERROR(__xludf.DUMMYFUNCTION("""COMPUTED_VALUE"""),4.485E8)</f>
        <v>448500000</v>
      </c>
      <c r="H851" s="2"/>
      <c r="I851" s="2"/>
      <c r="J851" s="2"/>
      <c r="K851" s="2"/>
      <c r="L851" s="2"/>
      <c r="M851" s="2"/>
      <c r="N851" s="2"/>
      <c r="O851" s="2"/>
      <c r="P851" s="2"/>
      <c r="Q851" s="2"/>
      <c r="R851" s="2"/>
      <c r="S851" s="2"/>
      <c r="T851" s="2"/>
      <c r="U851" s="2"/>
      <c r="V851" s="2"/>
      <c r="W851" s="2"/>
      <c r="X851" s="2"/>
      <c r="Y851" s="2"/>
      <c r="Z851" s="2"/>
    </row>
    <row r="852">
      <c r="A852" s="2" t="str">
        <f>IFERROR(__xludf.DUMMYFUNCTION("""COMPUTED_VALUE"""),"Lizard Warrior Guantlet")</f>
        <v>Lizard Warrior Guantlet</v>
      </c>
      <c r="B852" s="2"/>
      <c r="C852" s="2" t="str">
        <f>IFERROR(__xludf.DUMMYFUNCTION("""COMPUTED_VALUE"""),"Gauntlet")</f>
        <v>Gauntlet</v>
      </c>
      <c r="D852" s="2" t="str">
        <f>IFERROR(__xludf.DUMMYFUNCTION("""COMPUTED_VALUE"""),"Hand")</f>
        <v>Hand</v>
      </c>
      <c r="E852" s="2">
        <f>IFERROR(__xludf.DUMMYFUNCTION("""COMPUTED_VALUE"""),3000.0)</f>
        <v>3000</v>
      </c>
      <c r="F852" s="2" t="str">
        <f>IFERROR(__xludf.DUMMYFUNCTION("""COMPUTED_VALUE"""),"DEF: +100000, Nature DEF: +50000 ++50% chance to be unaffected by a weapon attack from a poisoned enemy")</f>
        <v>DEF: +100000, Nature DEF: +50000 ++50% chance to be unaffected by a weapon attack from a poisoned enemy</v>
      </c>
      <c r="G852" s="2">
        <f>IFERROR(__xludf.DUMMYFUNCTION("""COMPUTED_VALUE"""),4.485E8)</f>
        <v>448500000</v>
      </c>
      <c r="H852" s="2"/>
      <c r="I852" s="2"/>
      <c r="J852" s="2"/>
      <c r="K852" s="2"/>
      <c r="L852" s="2"/>
      <c r="M852" s="2"/>
      <c r="N852" s="2"/>
      <c r="O852" s="2"/>
      <c r="P852" s="2"/>
      <c r="Q852" s="2"/>
      <c r="R852" s="2"/>
      <c r="S852" s="2"/>
      <c r="T852" s="2"/>
      <c r="U852" s="2"/>
      <c r="V852" s="2"/>
      <c r="W852" s="2"/>
      <c r="X852" s="2"/>
      <c r="Y852" s="2"/>
      <c r="Z852" s="2"/>
    </row>
    <row r="853">
      <c r="A853" s="2" t="str">
        <f>IFERROR(__xludf.DUMMYFUNCTION("""COMPUTED_VALUE"""),"Igaunian Assassin's Cowl")</f>
        <v>Igaunian Assassin's Cowl</v>
      </c>
      <c r="B853" s="2"/>
      <c r="C853" s="2" t="str">
        <f>IFERROR(__xludf.DUMMYFUNCTION("""COMPUTED_VALUE"""),"Item")</f>
        <v>Item</v>
      </c>
      <c r="D853" s="2" t="str">
        <f>IFERROR(__xludf.DUMMYFUNCTION("""COMPUTED_VALUE"""),"Head")</f>
        <v>Head</v>
      </c>
      <c r="E853" s="2">
        <f>IFERROR(__xludf.DUMMYFUNCTION("""COMPUTED_VALUE"""),2000.0)</f>
        <v>2000</v>
      </c>
      <c r="F853" s="2" t="str">
        <f>IFERROR(__xludf.DUMMYFUNCTION("""COMPUTED_VALUE"""),"DEF: +75000, Nature DEF: +25000 ++15000 ATK and ACC ++X4 Knife and Boomerang damage ++5 to all weapon attacks if concealed")</f>
        <v>DEF: +75000, Nature DEF: +25000 ++15000 ATK and ACC ++X4 Knife and Boomerang damage ++5 to all weapon attacks if concealed</v>
      </c>
      <c r="G853" s="2">
        <f>IFERROR(__xludf.DUMMYFUNCTION("""COMPUTED_VALUE"""),1.99E8)</f>
        <v>199000000</v>
      </c>
      <c r="H853" s="2"/>
      <c r="I853" s="2"/>
      <c r="J853" s="2"/>
      <c r="K853" s="2"/>
      <c r="L853" s="2"/>
      <c r="M853" s="2"/>
      <c r="N853" s="2"/>
      <c r="O853" s="2"/>
      <c r="P853" s="2"/>
      <c r="Q853" s="2"/>
      <c r="R853" s="2"/>
      <c r="S853" s="2"/>
      <c r="T853" s="2"/>
      <c r="U853" s="2"/>
      <c r="V853" s="2"/>
      <c r="W853" s="2"/>
      <c r="X853" s="2"/>
      <c r="Y853" s="2"/>
      <c r="Z853" s="2"/>
    </row>
    <row r="854">
      <c r="A854" s="2" t="str">
        <f>IFERROR(__xludf.DUMMYFUNCTION("""COMPUTED_VALUE"""),"Igaunian Assassin's Cloths")</f>
        <v>Igaunian Assassin's Cloths</v>
      </c>
      <c r="B854" s="2"/>
      <c r="C854" s="2" t="str">
        <f>IFERROR(__xludf.DUMMYFUNCTION("""COMPUTED_VALUE"""),"Item")</f>
        <v>Item</v>
      </c>
      <c r="D854" s="2" t="str">
        <f>IFERROR(__xludf.DUMMYFUNCTION("""COMPUTED_VALUE"""),"Torso")</f>
        <v>Torso</v>
      </c>
      <c r="E854" s="2">
        <f>IFERROR(__xludf.DUMMYFUNCTION("""COMPUTED_VALUE"""),2000.0)</f>
        <v>2000</v>
      </c>
      <c r="F854" s="2" t="str">
        <f>IFERROR(__xludf.DUMMYFUNCTION("""COMPUTED_VALUE"""),"DEF: +75000, Nature DEF: +25000 ++15000 ATK and ACC ++X4 Knife and Boomerang damage")</f>
        <v>DEF: +75000, Nature DEF: +25000 ++15000 ATK and ACC ++X4 Knife and Boomerang damage</v>
      </c>
      <c r="G854" s="2">
        <f>IFERROR(__xludf.DUMMYFUNCTION("""COMPUTED_VALUE"""),1.99E8)</f>
        <v>199000000</v>
      </c>
      <c r="H854" s="2"/>
      <c r="I854" s="2"/>
      <c r="J854" s="2"/>
      <c r="K854" s="2"/>
      <c r="L854" s="2"/>
      <c r="M854" s="2"/>
      <c r="N854" s="2"/>
      <c r="O854" s="2"/>
      <c r="P854" s="2"/>
      <c r="Q854" s="2"/>
      <c r="R854" s="2"/>
      <c r="S854" s="2"/>
      <c r="T854" s="2"/>
      <c r="U854" s="2"/>
      <c r="V854" s="2"/>
      <c r="W854" s="2"/>
      <c r="X854" s="2"/>
      <c r="Y854" s="2"/>
      <c r="Z854" s="2"/>
    </row>
    <row r="855">
      <c r="A855" s="2" t="str">
        <f>IFERROR(__xludf.DUMMYFUNCTION("""COMPUTED_VALUE"""),"Iguanian Assassin's Pants")</f>
        <v>Iguanian Assassin's Pants</v>
      </c>
      <c r="B855" s="2"/>
      <c r="C855" s="2" t="str">
        <f>IFERROR(__xludf.DUMMYFUNCTION("""COMPUTED_VALUE"""),"Item")</f>
        <v>Item</v>
      </c>
      <c r="D855" s="2" t="str">
        <f>IFERROR(__xludf.DUMMYFUNCTION("""COMPUTED_VALUE"""),"Legs")</f>
        <v>Legs</v>
      </c>
      <c r="E855" s="2">
        <f>IFERROR(__xludf.DUMMYFUNCTION("""COMPUTED_VALUE"""),2000.0)</f>
        <v>2000</v>
      </c>
      <c r="F855" s="2" t="str">
        <f>IFERROR(__xludf.DUMMYFUNCTION("""COMPUTED_VALUE"""),"DEF: +75000, Nature DEF: +25000 ++15000 ATK and ACC ++X4 Knife and Boomerang damage")</f>
        <v>DEF: +75000, Nature DEF: +25000 ++15000 ATK and ACC ++X4 Knife and Boomerang damage</v>
      </c>
      <c r="G855" s="2">
        <f>IFERROR(__xludf.DUMMYFUNCTION("""COMPUTED_VALUE"""),1.99E8)</f>
        <v>199000000</v>
      </c>
      <c r="H855" s="2"/>
      <c r="I855" s="2"/>
      <c r="J855" s="2"/>
      <c r="K855" s="2"/>
      <c r="L855" s="2"/>
      <c r="M855" s="2"/>
      <c r="N855" s="2"/>
      <c r="O855" s="2"/>
      <c r="P855" s="2"/>
      <c r="Q855" s="2"/>
      <c r="R855" s="2"/>
      <c r="S855" s="2"/>
      <c r="T855" s="2"/>
      <c r="U855" s="2"/>
      <c r="V855" s="2"/>
      <c r="W855" s="2"/>
      <c r="X855" s="2"/>
      <c r="Y855" s="2"/>
      <c r="Z855" s="2"/>
    </row>
    <row r="856">
      <c r="A856" s="2" t="str">
        <f>IFERROR(__xludf.DUMMYFUNCTION("""COMPUTED_VALUE"""),"Iguanian Assassin's Boots")</f>
        <v>Iguanian Assassin's Boots</v>
      </c>
      <c r="B856" s="2"/>
      <c r="C856" s="2" t="str">
        <f>IFERROR(__xludf.DUMMYFUNCTION("""COMPUTED_VALUE"""),"Item")</f>
        <v>Item</v>
      </c>
      <c r="D856" s="2" t="str">
        <f>IFERROR(__xludf.DUMMYFUNCTION("""COMPUTED_VALUE"""),"Feet")</f>
        <v>Feet</v>
      </c>
      <c r="E856" s="2">
        <f>IFERROR(__xludf.DUMMYFUNCTION("""COMPUTED_VALUE"""),2000.0)</f>
        <v>2000</v>
      </c>
      <c r="F856" s="2" t="str">
        <f>IFERROR(__xludf.DUMMYFUNCTION("""COMPUTED_VALUE"""),"DEF: +75000, Nature DEF: +25000 ++15000 ATK and ACC ++X4 Knife and Boomerang damage")</f>
        <v>DEF: +75000, Nature DEF: +25000 ++15000 ATK and ACC ++X4 Knife and Boomerang damage</v>
      </c>
      <c r="G856" s="2">
        <f>IFERROR(__xludf.DUMMYFUNCTION("""COMPUTED_VALUE"""),1.99E8)</f>
        <v>199000000</v>
      </c>
      <c r="H856" s="2"/>
      <c r="I856" s="2"/>
      <c r="J856" s="2"/>
      <c r="K856" s="2"/>
      <c r="L856" s="2"/>
      <c r="M856" s="2"/>
      <c r="N856" s="2"/>
      <c r="O856" s="2"/>
      <c r="P856" s="2"/>
      <c r="Q856" s="2"/>
      <c r="R856" s="2"/>
      <c r="S856" s="2"/>
      <c r="T856" s="2"/>
      <c r="U856" s="2"/>
      <c r="V856" s="2"/>
      <c r="W856" s="2"/>
      <c r="X856" s="2"/>
      <c r="Y856" s="2"/>
      <c r="Z856" s="2"/>
    </row>
    <row r="857">
      <c r="A857" s="2" t="str">
        <f>IFERROR(__xludf.DUMMYFUNCTION("""COMPUTED_VALUE"""),"Iguanian Assassin's Chakram")</f>
        <v>Iguanian Assassin's Chakram</v>
      </c>
      <c r="B857" s="2"/>
      <c r="C857" s="2" t="str">
        <f>IFERROR(__xludf.DUMMYFUNCTION("""COMPUTED_VALUE"""),"Boomerang")</f>
        <v>Boomerang</v>
      </c>
      <c r="D857" s="2" t="str">
        <f>IFERROR(__xludf.DUMMYFUNCTION("""COMPUTED_VALUE"""),"Hand")</f>
        <v>Hand</v>
      </c>
      <c r="E857" s="2">
        <f>IFERROR(__xludf.DUMMYFUNCTION("""COMPUTED_VALUE"""),3000.0)</f>
        <v>3000</v>
      </c>
      <c r="F857" s="2" t="str">
        <f>IFERROR(__xludf.DUMMYFUNCTION("""COMPUTED_VALUE"""),"DMG: +100000, Nature DMG: +50000 ++Increases the weapon effect chance by 10%")</f>
        <v>DMG: +100000, Nature DMG: +50000 ++Increases the weapon effect chance by 10%</v>
      </c>
      <c r="G857" s="2">
        <f>IFERROR(__xludf.DUMMYFUNCTION("""COMPUTED_VALUE"""),4.485E8)</f>
        <v>448500000</v>
      </c>
      <c r="H857" s="2"/>
      <c r="I857" s="2"/>
      <c r="J857" s="2"/>
      <c r="K857" s="2"/>
      <c r="L857" s="2"/>
      <c r="M857" s="2"/>
      <c r="N857" s="2"/>
      <c r="O857" s="2"/>
      <c r="P857" s="2"/>
      <c r="Q857" s="2"/>
      <c r="R857" s="2"/>
      <c r="S857" s="2"/>
      <c r="T857" s="2"/>
      <c r="U857" s="2"/>
      <c r="V857" s="2"/>
      <c r="W857" s="2"/>
      <c r="X857" s="2"/>
      <c r="Y857" s="2"/>
      <c r="Z857" s="2"/>
    </row>
    <row r="858">
      <c r="A858" s="2" t="str">
        <f>IFERROR(__xludf.DUMMYFUNCTION("""COMPUTED_VALUE"""),"Iguanian Assassin's Slicer")</f>
        <v>Iguanian Assassin's Slicer</v>
      </c>
      <c r="B858" s="2"/>
      <c r="C858" s="2" t="str">
        <f>IFERROR(__xludf.DUMMYFUNCTION("""COMPUTED_VALUE"""),"Knife")</f>
        <v>Knife</v>
      </c>
      <c r="D858" s="2" t="str">
        <f>IFERROR(__xludf.DUMMYFUNCTION("""COMPUTED_VALUE"""),"Hand")</f>
        <v>Hand</v>
      </c>
      <c r="E858" s="2">
        <f>IFERROR(__xludf.DUMMYFUNCTION("""COMPUTED_VALUE"""),3000.0)</f>
        <v>3000</v>
      </c>
      <c r="F858" s="2" t="str">
        <f>IFERROR(__xludf.DUMMYFUNCTION("""COMPUTED_VALUE"""),"DMG: +100000, Nature DMG: +50000 ++Guarantees the Bleed effect of the knife weapon type and doubles the bleed caused +-Cannot be Forged")</f>
        <v>DMG: +100000, Nature DMG: +50000 ++Guarantees the Bleed effect of the knife weapon type and doubles the bleed caused +-Cannot be Forged</v>
      </c>
      <c r="G858" s="2">
        <f>IFERROR(__xludf.DUMMYFUNCTION("""COMPUTED_VALUE"""),4.485E8)</f>
        <v>448500000</v>
      </c>
      <c r="H858" s="2"/>
      <c r="I858" s="2"/>
      <c r="J858" s="2"/>
      <c r="K858" s="2"/>
      <c r="L858" s="2"/>
      <c r="M858" s="2"/>
      <c r="N858" s="2"/>
      <c r="O858" s="2"/>
      <c r="P858" s="2"/>
      <c r="Q858" s="2"/>
      <c r="R858" s="2"/>
      <c r="S858" s="2"/>
      <c r="T858" s="2"/>
      <c r="U858" s="2"/>
      <c r="V858" s="2"/>
      <c r="W858" s="2"/>
      <c r="X858" s="2"/>
      <c r="Y858" s="2"/>
      <c r="Z858" s="2"/>
    </row>
    <row r="859">
      <c r="A859" s="2" t="str">
        <f>IFERROR(__xludf.DUMMYFUNCTION("""COMPUTED_VALUE"""),"Wyverntooth Smasher")</f>
        <v>Wyverntooth Smasher</v>
      </c>
      <c r="B859" s="2"/>
      <c r="C859" s="2" t="str">
        <f>IFERROR(__xludf.DUMMYFUNCTION("""COMPUTED_VALUE"""),"Axe")</f>
        <v>Axe</v>
      </c>
      <c r="D859" s="2" t="str">
        <f>IFERROR(__xludf.DUMMYFUNCTION("""COMPUTED_VALUE"""),"Hand")</f>
        <v>Hand</v>
      </c>
      <c r="E859" s="2">
        <f>IFERROR(__xludf.DUMMYFUNCTION("""COMPUTED_VALUE"""),2400.0)</f>
        <v>2400</v>
      </c>
      <c r="F859" s="2" t="str">
        <f>IFERROR(__xludf.DUMMYFUNCTION("""COMPUTED_VALUE"""),"DMG: +30000, Chaos DMG: +90000")</f>
        <v>DMG: +30000, Chaos DMG: +90000</v>
      </c>
      <c r="G859" s="2">
        <f>IFERROR(__xludf.DUMMYFUNCTION("""COMPUTED_VALUE"""),2.868E8)</f>
        <v>286800000</v>
      </c>
      <c r="H859" s="2"/>
      <c r="I859" s="2"/>
      <c r="J859" s="2"/>
      <c r="K859" s="2"/>
      <c r="L859" s="2"/>
      <c r="M859" s="2"/>
      <c r="N859" s="2"/>
      <c r="O859" s="2"/>
      <c r="P859" s="2"/>
      <c r="Q859" s="2"/>
      <c r="R859" s="2"/>
      <c r="S859" s="2"/>
      <c r="T859" s="2"/>
      <c r="U859" s="2"/>
      <c r="V859" s="2"/>
      <c r="W859" s="2"/>
      <c r="X859" s="2"/>
      <c r="Y859" s="2"/>
      <c r="Z859" s="2"/>
    </row>
    <row r="860">
      <c r="A860" s="2" t="str">
        <f>IFERROR(__xludf.DUMMYFUNCTION("""COMPUTED_VALUE"""),"Wyvernblade")</f>
        <v>Wyvernblade</v>
      </c>
      <c r="B860" s="2"/>
      <c r="C860" s="2" t="str">
        <f>IFERROR(__xludf.DUMMYFUNCTION("""COMPUTED_VALUE"""),"Knife")</f>
        <v>Knife</v>
      </c>
      <c r="D860" s="2" t="str">
        <f>IFERROR(__xludf.DUMMYFUNCTION("""COMPUTED_VALUE"""),"Hand")</f>
        <v>Hand</v>
      </c>
      <c r="E860" s="2">
        <f>IFERROR(__xludf.DUMMYFUNCTION("""COMPUTED_VALUE"""),2600.0)</f>
        <v>2600</v>
      </c>
      <c r="F860" s="2" t="str">
        <f>IFERROR(__xludf.DUMMYFUNCTION("""COMPUTED_VALUE"""),", Melee DMG: +130000")</f>
        <v>, Melee DMG: +130000</v>
      </c>
      <c r="G860" s="2">
        <f>IFERROR(__xludf.DUMMYFUNCTION("""COMPUTED_VALUE"""),3.367E8)</f>
        <v>336700000</v>
      </c>
      <c r="H860" s="2"/>
      <c r="I860" s="2"/>
      <c r="J860" s="2"/>
      <c r="K860" s="2"/>
      <c r="L860" s="2"/>
      <c r="M860" s="2"/>
      <c r="N860" s="2"/>
      <c r="O860" s="2"/>
      <c r="P860" s="2"/>
      <c r="Q860" s="2"/>
      <c r="R860" s="2"/>
      <c r="S860" s="2"/>
      <c r="T860" s="2"/>
      <c r="U860" s="2"/>
      <c r="V860" s="2"/>
      <c r="W860" s="2"/>
      <c r="X860" s="2"/>
      <c r="Y860" s="2"/>
      <c r="Z860" s="2"/>
    </row>
    <row r="861">
      <c r="A861" s="2" t="str">
        <f>IFERROR(__xludf.DUMMYFUNCTION("""COMPUTED_VALUE"""),"Wyvernscale Ring")</f>
        <v>Wyvernscale Ring</v>
      </c>
      <c r="B861" s="2"/>
      <c r="C861" s="2" t="str">
        <f>IFERROR(__xludf.DUMMYFUNCTION("""COMPUTED_VALUE"""),"Item")</f>
        <v>Item</v>
      </c>
      <c r="D861" s="2" t="str">
        <f>IFERROR(__xludf.DUMMYFUNCTION("""COMPUTED_VALUE"""),"Finger")</f>
        <v>Finger</v>
      </c>
      <c r="E861" s="2">
        <f>IFERROR(__xludf.DUMMYFUNCTION("""COMPUTED_VALUE"""),2000.0)</f>
        <v>2000</v>
      </c>
      <c r="F861" s="2" t="str">
        <f>IFERROR(__xludf.DUMMYFUNCTION("""COMPUTED_VALUE"""),", Melee DEF: +100000 ++50% chance to negate any damage from a wyvern +-Cannot be forged or duplicated")</f>
        <v>, Melee DEF: +100000 ++50% chance to negate any damage from a wyvern +-Cannot be forged or duplicated</v>
      </c>
      <c r="G861" s="2">
        <f>IFERROR(__xludf.DUMMYFUNCTION("""COMPUTED_VALUE"""),1.99E8)</f>
        <v>199000000</v>
      </c>
      <c r="H861" s="2"/>
      <c r="I861" s="2"/>
      <c r="J861" s="2"/>
      <c r="K861" s="2"/>
      <c r="L861" s="2"/>
      <c r="M861" s="2"/>
      <c r="N861" s="2"/>
      <c r="O861" s="2"/>
      <c r="P861" s="2"/>
      <c r="Q861" s="2"/>
      <c r="R861" s="2"/>
      <c r="S861" s="2"/>
      <c r="T861" s="2"/>
      <c r="U861" s="2"/>
      <c r="V861" s="2"/>
      <c r="W861" s="2"/>
      <c r="X861" s="2"/>
      <c r="Y861" s="2"/>
      <c r="Z861" s="2"/>
    </row>
    <row r="862">
      <c r="A862" s="2" t="str">
        <f>IFERROR(__xludf.DUMMYFUNCTION("""COMPUTED_VALUE"""),"Wyvern Hood")</f>
        <v>Wyvern Hood</v>
      </c>
      <c r="B862" s="2"/>
      <c r="C862" s="2" t="str">
        <f>IFERROR(__xludf.DUMMYFUNCTION("""COMPUTED_VALUE"""),"Item")</f>
        <v>Item</v>
      </c>
      <c r="D862" s="2" t="str">
        <f>IFERROR(__xludf.DUMMYFUNCTION("""COMPUTED_VALUE"""),"Head")</f>
        <v>Head</v>
      </c>
      <c r="E862" s="2">
        <f>IFERROR(__xludf.DUMMYFUNCTION("""COMPUTED_VALUE"""),1.0)</f>
        <v>1</v>
      </c>
      <c r="F862" s="2" t="str">
        <f>IFERROR(__xludf.DUMMYFUNCTION("""COMPUTED_VALUE""")," ++When in a party of 4 or more, enemy wyverns cannot target the wearer +-Cannot be forged or duplicated")</f>
        <v> ++When in a party of 4 or more, enemy wyverns cannot target the wearer +-Cannot be forged or duplicated</v>
      </c>
      <c r="G862" s="2">
        <f>IFERROR(__xludf.DUMMYFUNCTION("""COMPUTED_VALUE"""),0.0)</f>
        <v>0</v>
      </c>
      <c r="H862" s="2"/>
      <c r="I862" s="2"/>
      <c r="J862" s="2"/>
      <c r="K862" s="2"/>
      <c r="L862" s="2"/>
      <c r="M862" s="2"/>
      <c r="N862" s="2"/>
      <c r="O862" s="2"/>
      <c r="P862" s="2"/>
      <c r="Q862" s="2"/>
      <c r="R862" s="2"/>
      <c r="S862" s="2"/>
      <c r="T862" s="2"/>
      <c r="U862" s="2"/>
      <c r="V862" s="2"/>
      <c r="W862" s="2"/>
      <c r="X862" s="2"/>
      <c r="Y862" s="2"/>
      <c r="Z862" s="2"/>
    </row>
    <row r="863">
      <c r="A863" s="2" t="str">
        <f>IFERROR(__xludf.DUMMYFUNCTION("""COMPUTED_VALUE"""),"Wyvernarang")</f>
        <v>Wyvernarang</v>
      </c>
      <c r="B863" s="2"/>
      <c r="C863" s="2" t="str">
        <f>IFERROR(__xludf.DUMMYFUNCTION("""COMPUTED_VALUE"""),"Boomerang")</f>
        <v>Boomerang</v>
      </c>
      <c r="D863" s="2" t="str">
        <f>IFERROR(__xludf.DUMMYFUNCTION("""COMPUTED_VALUE"""),"Hand")</f>
        <v>Hand</v>
      </c>
      <c r="E863" s="2">
        <f>IFERROR(__xludf.DUMMYFUNCTION("""COMPUTED_VALUE"""),3000.0)</f>
        <v>3000</v>
      </c>
      <c r="F863" s="2" t="str">
        <f>IFERROR(__xludf.DUMMYFUNCTION("""COMPUTED_VALUE"""),"DMG: +50000, Spirit DMG: +50000, Chaos DMG: +50000")</f>
        <v>DMG: +50000, Spirit DMG: +50000, Chaos DMG: +50000</v>
      </c>
      <c r="G863" s="2">
        <f>IFERROR(__xludf.DUMMYFUNCTION("""COMPUTED_VALUE"""),4.485E8)</f>
        <v>448500000</v>
      </c>
      <c r="H863" s="2"/>
      <c r="I863" s="2"/>
      <c r="J863" s="2"/>
      <c r="K863" s="2"/>
      <c r="L863" s="2"/>
      <c r="M863" s="2"/>
      <c r="N863" s="2"/>
      <c r="O863" s="2"/>
      <c r="P863" s="2"/>
      <c r="Q863" s="2"/>
      <c r="R863" s="2"/>
      <c r="S863" s="2"/>
      <c r="T863" s="2"/>
      <c r="U863" s="2"/>
      <c r="V863" s="2"/>
      <c r="W863" s="2"/>
      <c r="X863" s="2"/>
      <c r="Y863" s="2"/>
      <c r="Z863" s="2"/>
    </row>
    <row r="864">
      <c r="A864" s="2" t="str">
        <f>IFERROR(__xludf.DUMMYFUNCTION("""COMPUTED_VALUE"""),"Iguanian Assassin's Memento")</f>
        <v>Iguanian Assassin's Memento</v>
      </c>
      <c r="B864" s="2" t="str">
        <f>IFERROR(__xludf.DUMMYFUNCTION("""COMPUTED_VALUE"""),"From this necklace hangs a series of teeth, each one taken from an iguanian assassin's victim.")</f>
        <v>From this necklace hangs a series of teeth, each one taken from an iguanian assassin's victim.</v>
      </c>
      <c r="C864" s="2"/>
      <c r="D864" s="2" t="str">
        <f>IFERROR(__xludf.DUMMYFUNCTION("""COMPUTED_VALUE"""),"Neck")</f>
        <v>Neck</v>
      </c>
      <c r="E864" s="2">
        <f>IFERROR(__xludf.DUMMYFUNCTION("""COMPUTED_VALUE"""),1.0)</f>
        <v>1</v>
      </c>
      <c r="F864" s="2" t="str">
        <f>IFERROR(__xludf.DUMMYFUNCTION("""COMPUTED_VALUE""")," ++For every enemy killed with this item equipped +1 permanent ATK (0/100000)")</f>
        <v> ++For every enemy killed with this item equipped +1 permanent ATK (0/100000)</v>
      </c>
      <c r="G864" s="2">
        <f>IFERROR(__xludf.DUMMYFUNCTION("""COMPUTED_VALUE"""),0.0)</f>
        <v>0</v>
      </c>
      <c r="H864" s="2"/>
      <c r="I864" s="2"/>
      <c r="J864" s="2"/>
      <c r="K864" s="2"/>
      <c r="L864" s="2"/>
      <c r="M864" s="2"/>
      <c r="N864" s="2"/>
      <c r="O864" s="2"/>
      <c r="P864" s="2"/>
      <c r="Q864" s="2"/>
      <c r="R864" s="2"/>
      <c r="S864" s="2"/>
      <c r="T864" s="2"/>
      <c r="U864" s="2"/>
      <c r="V864" s="2"/>
      <c r="W864" s="2"/>
      <c r="X864" s="2"/>
      <c r="Y864" s="2"/>
      <c r="Z864" s="2"/>
    </row>
    <row r="865">
      <c r="A865" s="2" t="str">
        <f>IFERROR(__xludf.DUMMYFUNCTION("""COMPUTED_VALUE"""),"Salamander Boots")</f>
        <v>Salamander Boots</v>
      </c>
      <c r="B865" s="2"/>
      <c r="C865" s="2" t="str">
        <f>IFERROR(__xludf.DUMMYFUNCTION("""COMPUTED_VALUE"""),"Item")</f>
        <v>Item</v>
      </c>
      <c r="D865" s="2" t="str">
        <f>IFERROR(__xludf.DUMMYFUNCTION("""COMPUTED_VALUE"""),"Feet")</f>
        <v>Feet</v>
      </c>
      <c r="E865" s="2">
        <f>IFERROR(__xludf.DUMMYFUNCTION("""COMPUTED_VALUE"""),2000.0)</f>
        <v>2000</v>
      </c>
      <c r="F865" s="2" t="str">
        <f>IFERROR(__xludf.DUMMYFUNCTION("""COMPUTED_VALUE"""),", Fire DEF: +100000")</f>
        <v>, Fire DEF: +100000</v>
      </c>
      <c r="G865" s="2">
        <f>IFERROR(__xludf.DUMMYFUNCTION("""COMPUTED_VALUE"""),1.99E8)</f>
        <v>199000000</v>
      </c>
      <c r="H865" s="2"/>
      <c r="I865" s="2"/>
      <c r="J865" s="2"/>
      <c r="K865" s="2"/>
      <c r="L865" s="2"/>
      <c r="M865" s="2"/>
      <c r="N865" s="2"/>
      <c r="O865" s="2"/>
      <c r="P865" s="2"/>
      <c r="Q865" s="2"/>
      <c r="R865" s="2"/>
      <c r="S865" s="2"/>
      <c r="T865" s="2"/>
      <c r="U865" s="2"/>
      <c r="V865" s="2"/>
      <c r="W865" s="2"/>
      <c r="X865" s="2"/>
      <c r="Y865" s="2"/>
      <c r="Z865" s="2"/>
    </row>
    <row r="866">
      <c r="A866" s="2" t="str">
        <f>IFERROR(__xludf.DUMMYFUNCTION("""COMPUTED_VALUE"""),"Salamanderscale Chainmail")</f>
        <v>Salamanderscale Chainmail</v>
      </c>
      <c r="B866" s="2"/>
      <c r="C866" s="2" t="str">
        <f>IFERROR(__xludf.DUMMYFUNCTION("""COMPUTED_VALUE"""),"Item")</f>
        <v>Item</v>
      </c>
      <c r="D866" s="2" t="str">
        <f>IFERROR(__xludf.DUMMYFUNCTION("""COMPUTED_VALUE"""),"Torso")</f>
        <v>Torso</v>
      </c>
      <c r="E866" s="2">
        <f>IFERROR(__xludf.DUMMYFUNCTION("""COMPUTED_VALUE"""),2000.0)</f>
        <v>2000</v>
      </c>
      <c r="F866" s="2" t="str">
        <f>IFERROR(__xludf.DUMMYFUNCTION("""COMPUTED_VALUE"""),", Fire DEF: +120000, Water DEF: +-10000, Storm DEF: +-10000 +-Water and Storm deal additional 20000 damage to the wearer")</f>
        <v>, Fire DEF: +120000, Water DEF: +-10000, Storm DEF: +-10000 +-Water and Storm deal additional 20000 damage to the wearer</v>
      </c>
      <c r="G866" s="2">
        <f>IFERROR(__xludf.DUMMYFUNCTION("""COMPUTED_VALUE"""),1.99E8)</f>
        <v>199000000</v>
      </c>
      <c r="H866" s="2"/>
      <c r="I866" s="2"/>
      <c r="J866" s="2"/>
      <c r="K866" s="2"/>
      <c r="L866" s="2"/>
      <c r="M866" s="2"/>
      <c r="N866" s="2"/>
      <c r="O866" s="2"/>
      <c r="P866" s="2"/>
      <c r="Q866" s="2"/>
      <c r="R866" s="2"/>
      <c r="S866" s="2"/>
      <c r="T866" s="2"/>
      <c r="U866" s="2"/>
      <c r="V866" s="2"/>
      <c r="W866" s="2"/>
      <c r="X866" s="2"/>
      <c r="Y866" s="2"/>
      <c r="Z866" s="2"/>
    </row>
    <row r="867">
      <c r="A867" s="2" t="str">
        <f>IFERROR(__xludf.DUMMYFUNCTION("""COMPUTED_VALUE"""),"Iguanian Brawler's Headband")</f>
        <v>Iguanian Brawler's Headband</v>
      </c>
      <c r="B867" s="2"/>
      <c r="C867" s="2" t="str">
        <f>IFERROR(__xludf.DUMMYFUNCTION("""COMPUTED_VALUE"""),"Item")</f>
        <v>Item</v>
      </c>
      <c r="D867" s="2" t="str">
        <f>IFERROR(__xludf.DUMMYFUNCTION("""COMPUTED_VALUE"""),"Head")</f>
        <v>Head</v>
      </c>
      <c r="E867" s="2">
        <f>IFERROR(__xludf.DUMMYFUNCTION("""COMPUTED_VALUE"""),3000.0)</f>
        <v>3000</v>
      </c>
      <c r="F867" s="2" t="str">
        <f>IFERROR(__xludf.DUMMYFUNCTION("""COMPUTED_VALUE"""),"DEF: +150000, Water DEF: +50000, Nature DEF: +-50000")</f>
        <v>DEF: +150000, Water DEF: +50000, Nature DEF: +-50000</v>
      </c>
      <c r="G867" s="2">
        <f>IFERROR(__xludf.DUMMYFUNCTION("""COMPUTED_VALUE"""),4.485E8)</f>
        <v>448500000</v>
      </c>
      <c r="H867" s="2"/>
      <c r="I867" s="2"/>
      <c r="J867" s="2"/>
      <c r="K867" s="2"/>
      <c r="L867" s="2"/>
      <c r="M867" s="2"/>
      <c r="N867" s="2"/>
      <c r="O867" s="2"/>
      <c r="P867" s="2"/>
      <c r="Q867" s="2"/>
      <c r="R867" s="2"/>
      <c r="S867" s="2"/>
      <c r="T867" s="2"/>
      <c r="U867" s="2"/>
      <c r="V867" s="2"/>
      <c r="W867" s="2"/>
      <c r="X867" s="2"/>
      <c r="Y867" s="2"/>
      <c r="Z867" s="2"/>
    </row>
    <row r="868">
      <c r="A868" s="2" t="str">
        <f>IFERROR(__xludf.DUMMYFUNCTION("""COMPUTED_VALUE"""),"Iguanian Brawler's Cape")</f>
        <v>Iguanian Brawler's Cape</v>
      </c>
      <c r="B868" s="2"/>
      <c r="C868" s="2" t="str">
        <f>IFERROR(__xludf.DUMMYFUNCTION("""COMPUTED_VALUE"""),"Item")</f>
        <v>Item</v>
      </c>
      <c r="D868" s="2" t="str">
        <f>IFERROR(__xludf.DUMMYFUNCTION("""COMPUTED_VALUE"""),"Shoulders")</f>
        <v>Shoulders</v>
      </c>
      <c r="E868" s="2">
        <f>IFERROR(__xludf.DUMMYFUNCTION("""COMPUTED_VALUE"""),3000.0)</f>
        <v>3000</v>
      </c>
      <c r="F868" s="2" t="str">
        <f>IFERROR(__xludf.DUMMYFUNCTION("""COMPUTED_VALUE"""),"DEF: +150000, Water DEF: +50000, Nature DEF: +-50000")</f>
        <v>DEF: +150000, Water DEF: +50000, Nature DEF: +-50000</v>
      </c>
      <c r="G868" s="2">
        <f>IFERROR(__xludf.DUMMYFUNCTION("""COMPUTED_VALUE"""),4.485E8)</f>
        <v>448500000</v>
      </c>
      <c r="H868" s="2"/>
      <c r="I868" s="2"/>
      <c r="J868" s="2"/>
      <c r="K868" s="2"/>
      <c r="L868" s="2"/>
      <c r="M868" s="2"/>
      <c r="N868" s="2"/>
      <c r="O868" s="2"/>
      <c r="P868" s="2"/>
      <c r="Q868" s="2"/>
      <c r="R868" s="2"/>
      <c r="S868" s="2"/>
      <c r="T868" s="2"/>
      <c r="U868" s="2"/>
      <c r="V868" s="2"/>
      <c r="W868" s="2"/>
      <c r="X868" s="2"/>
      <c r="Y868" s="2"/>
      <c r="Z868" s="2"/>
    </row>
    <row r="869">
      <c r="A869" s="2" t="str">
        <f>IFERROR(__xludf.DUMMYFUNCTION("""COMPUTED_VALUE"""),"Iguanian Brawler's Sash")</f>
        <v>Iguanian Brawler's Sash</v>
      </c>
      <c r="B869" s="2"/>
      <c r="C869" s="2" t="str">
        <f>IFERROR(__xludf.DUMMYFUNCTION("""COMPUTED_VALUE"""),"Item")</f>
        <v>Item</v>
      </c>
      <c r="D869" s="2" t="str">
        <f>IFERROR(__xludf.DUMMYFUNCTION("""COMPUTED_VALUE"""),"Torso")</f>
        <v>Torso</v>
      </c>
      <c r="E869" s="2">
        <f>IFERROR(__xludf.DUMMYFUNCTION("""COMPUTED_VALUE"""),3000.0)</f>
        <v>3000</v>
      </c>
      <c r="F869" s="2" t="str">
        <f>IFERROR(__xludf.DUMMYFUNCTION("""COMPUTED_VALUE"""),"DEF: +150000, Water DEF: +50000, Nature DEF: +-50000")</f>
        <v>DEF: +150000, Water DEF: +50000, Nature DEF: +-50000</v>
      </c>
      <c r="G869" s="2">
        <f>IFERROR(__xludf.DUMMYFUNCTION("""COMPUTED_VALUE"""),4.485E8)</f>
        <v>448500000</v>
      </c>
      <c r="H869" s="2"/>
      <c r="I869" s="2"/>
      <c r="J869" s="2"/>
      <c r="K869" s="2"/>
      <c r="L869" s="2"/>
      <c r="M869" s="2"/>
      <c r="N869" s="2"/>
      <c r="O869" s="2"/>
      <c r="P869" s="2"/>
      <c r="Q869" s="2"/>
      <c r="R869" s="2"/>
      <c r="S869" s="2"/>
      <c r="T869" s="2"/>
      <c r="U869" s="2"/>
      <c r="V869" s="2"/>
      <c r="W869" s="2"/>
      <c r="X869" s="2"/>
      <c r="Y869" s="2"/>
      <c r="Z869" s="2"/>
    </row>
    <row r="870">
      <c r="A870" s="2" t="str">
        <f>IFERROR(__xludf.DUMMYFUNCTION("""COMPUTED_VALUE"""),"Iguanian Brawler's Arm Wraps")</f>
        <v>Iguanian Brawler's Arm Wraps</v>
      </c>
      <c r="B870" s="2"/>
      <c r="C870" s="2" t="str">
        <f>IFERROR(__xludf.DUMMYFUNCTION("""COMPUTED_VALUE"""),"Item")</f>
        <v>Item</v>
      </c>
      <c r="D870" s="2" t="str">
        <f>IFERROR(__xludf.DUMMYFUNCTION("""COMPUTED_VALUE"""),"Arms")</f>
        <v>Arms</v>
      </c>
      <c r="E870" s="2">
        <f>IFERROR(__xludf.DUMMYFUNCTION("""COMPUTED_VALUE"""),3000.0)</f>
        <v>3000</v>
      </c>
      <c r="F870" s="2" t="str">
        <f>IFERROR(__xludf.DUMMYFUNCTION("""COMPUTED_VALUE"""),"DEF: +150000, Water DEF: +50000, Nature DEF: +-50000")</f>
        <v>DEF: +150000, Water DEF: +50000, Nature DEF: +-50000</v>
      </c>
      <c r="G870" s="2">
        <f>IFERROR(__xludf.DUMMYFUNCTION("""COMPUTED_VALUE"""),4.485E8)</f>
        <v>448500000</v>
      </c>
      <c r="H870" s="2"/>
      <c r="I870" s="2"/>
      <c r="J870" s="2"/>
      <c r="K870" s="2"/>
      <c r="L870" s="2"/>
      <c r="M870" s="2"/>
      <c r="N870" s="2"/>
      <c r="O870" s="2"/>
      <c r="P870" s="2"/>
      <c r="Q870" s="2"/>
      <c r="R870" s="2"/>
      <c r="S870" s="2"/>
      <c r="T870" s="2"/>
      <c r="U870" s="2"/>
      <c r="V870" s="2"/>
      <c r="W870" s="2"/>
      <c r="X870" s="2"/>
      <c r="Y870" s="2"/>
      <c r="Z870" s="2"/>
    </row>
    <row r="871">
      <c r="A871" s="2" t="str">
        <f>IFERROR(__xludf.DUMMYFUNCTION("""COMPUTED_VALUE"""),"Iguanian Brawler's Shorts")</f>
        <v>Iguanian Brawler's Shorts</v>
      </c>
      <c r="B871" s="2"/>
      <c r="C871" s="2" t="str">
        <f>IFERROR(__xludf.DUMMYFUNCTION("""COMPUTED_VALUE"""),"Item")</f>
        <v>Item</v>
      </c>
      <c r="D871" s="2" t="str">
        <f>IFERROR(__xludf.DUMMYFUNCTION("""COMPUTED_VALUE"""),"Legs")</f>
        <v>Legs</v>
      </c>
      <c r="E871" s="2">
        <f>IFERROR(__xludf.DUMMYFUNCTION("""COMPUTED_VALUE"""),3000.0)</f>
        <v>3000</v>
      </c>
      <c r="F871" s="2" t="str">
        <f>IFERROR(__xludf.DUMMYFUNCTION("""COMPUTED_VALUE"""),"DEF: +150000, Water DEF: +50000, Nature DEF: +-50000")</f>
        <v>DEF: +150000, Water DEF: +50000, Nature DEF: +-50000</v>
      </c>
      <c r="G871" s="2">
        <f>IFERROR(__xludf.DUMMYFUNCTION("""COMPUTED_VALUE"""),4.485E8)</f>
        <v>448500000</v>
      </c>
      <c r="H871" s="2"/>
      <c r="I871" s="2"/>
      <c r="J871" s="2"/>
      <c r="K871" s="2"/>
      <c r="L871" s="2"/>
      <c r="M871" s="2"/>
      <c r="N871" s="2"/>
      <c r="O871" s="2"/>
      <c r="P871" s="2"/>
      <c r="Q871" s="2"/>
      <c r="R871" s="2"/>
      <c r="S871" s="2"/>
      <c r="T871" s="2"/>
      <c r="U871" s="2"/>
      <c r="V871" s="2"/>
      <c r="W871" s="2"/>
      <c r="X871" s="2"/>
      <c r="Y871" s="2"/>
      <c r="Z871" s="2"/>
    </row>
    <row r="872">
      <c r="A872" s="2" t="str">
        <f>IFERROR(__xludf.DUMMYFUNCTION("""COMPUTED_VALUE"""),"Iguanian Brawler's Sandals")</f>
        <v>Iguanian Brawler's Sandals</v>
      </c>
      <c r="B872" s="2"/>
      <c r="C872" s="2" t="str">
        <f>IFERROR(__xludf.DUMMYFUNCTION("""COMPUTED_VALUE"""),"Item")</f>
        <v>Item</v>
      </c>
      <c r="D872" s="2" t="str">
        <f>IFERROR(__xludf.DUMMYFUNCTION("""COMPUTED_VALUE"""),"Feet")</f>
        <v>Feet</v>
      </c>
      <c r="E872" s="2">
        <f>IFERROR(__xludf.DUMMYFUNCTION("""COMPUTED_VALUE"""),3000.0)</f>
        <v>3000</v>
      </c>
      <c r="F872" s="2" t="str">
        <f>IFERROR(__xludf.DUMMYFUNCTION("""COMPUTED_VALUE"""),"DEF: +150000, Water DEF: +50000, Nature DEF: +-50000")</f>
        <v>DEF: +150000, Water DEF: +50000, Nature DEF: +-50000</v>
      </c>
      <c r="G872" s="2">
        <f>IFERROR(__xludf.DUMMYFUNCTION("""COMPUTED_VALUE"""),4.485E8)</f>
        <v>448500000</v>
      </c>
      <c r="H872" s="2"/>
      <c r="I872" s="2"/>
      <c r="J872" s="2"/>
      <c r="K872" s="2"/>
      <c r="L872" s="2"/>
      <c r="M872" s="2"/>
      <c r="N872" s="2"/>
      <c r="O872" s="2"/>
      <c r="P872" s="2"/>
      <c r="Q872" s="2"/>
      <c r="R872" s="2"/>
      <c r="S872" s="2"/>
      <c r="T872" s="2"/>
      <c r="U872" s="2"/>
      <c r="V872" s="2"/>
      <c r="W872" s="2"/>
      <c r="X872" s="2"/>
      <c r="Y872" s="2"/>
      <c r="Z872" s="2"/>
    </row>
    <row r="873">
      <c r="A873" s="2" t="str">
        <f>IFERROR(__xludf.DUMMYFUNCTION("""COMPUTED_VALUE"""),"Iguanian Brawler's Knuckles")</f>
        <v>Iguanian Brawler's Knuckles</v>
      </c>
      <c r="B873" s="2"/>
      <c r="C873" s="2" t="str">
        <f>IFERROR(__xludf.DUMMYFUNCTION("""COMPUTED_VALUE"""),"Gauntlet")</f>
        <v>Gauntlet</v>
      </c>
      <c r="D873" s="2" t="str">
        <f>IFERROR(__xludf.DUMMYFUNCTION("""COMPUTED_VALUE"""),"Hand")</f>
        <v>Hand</v>
      </c>
      <c r="E873" s="2">
        <f>IFERROR(__xludf.DUMMYFUNCTION("""COMPUTED_VALUE"""),3000.0)</f>
        <v>3000</v>
      </c>
      <c r="F873" s="2" t="str">
        <f>IFERROR(__xludf.DUMMYFUNCTION("""COMPUTED_VALUE"""),"DEF: +100000, Water DEF: +50000")</f>
        <v>DEF: +100000, Water DEF: +50000</v>
      </c>
      <c r="G873" s="2">
        <f>IFERROR(__xludf.DUMMYFUNCTION("""COMPUTED_VALUE"""),4.485E8)</f>
        <v>448500000</v>
      </c>
      <c r="H873" s="2"/>
      <c r="I873" s="2"/>
      <c r="J873" s="2"/>
      <c r="K873" s="2"/>
      <c r="L873" s="2"/>
      <c r="M873" s="2"/>
      <c r="N873" s="2"/>
      <c r="O873" s="2"/>
      <c r="P873" s="2"/>
      <c r="Q873" s="2"/>
      <c r="R873" s="2"/>
      <c r="S873" s="2"/>
      <c r="T873" s="2"/>
      <c r="U873" s="2"/>
      <c r="V873" s="2"/>
      <c r="W873" s="2"/>
      <c r="X873" s="2"/>
      <c r="Y873" s="2"/>
      <c r="Z873" s="2"/>
    </row>
    <row r="874">
      <c r="A874" s="2" t="str">
        <f>IFERROR(__xludf.DUMMYFUNCTION("""COMPUTED_VALUE"""),"Iguanian Brawler's Ring")</f>
        <v>Iguanian Brawler's Ring</v>
      </c>
      <c r="B874" s="2"/>
      <c r="C874" s="2"/>
      <c r="D874" s="2" t="str">
        <f>IFERROR(__xludf.DUMMYFUNCTION("""COMPUTED_VALUE"""),"Finger")</f>
        <v>Finger</v>
      </c>
      <c r="E874" s="2">
        <f>IFERROR(__xludf.DUMMYFUNCTION("""COMPUTED_VALUE"""),1.0)</f>
        <v>1</v>
      </c>
      <c r="F874" s="2" t="str">
        <f>IFERROR(__xludf.DUMMYFUNCTION("""COMPUTED_VALUE""")," ++X10 Natural Attack damage")</f>
        <v> ++X10 Natural Attack damage</v>
      </c>
      <c r="G874" s="2">
        <f>IFERROR(__xludf.DUMMYFUNCTION("""COMPUTED_VALUE"""),0.0)</f>
        <v>0</v>
      </c>
      <c r="H874" s="2"/>
      <c r="I874" s="2"/>
      <c r="J874" s="2"/>
      <c r="K874" s="2"/>
      <c r="L874" s="2"/>
      <c r="M874" s="2"/>
      <c r="N874" s="2"/>
      <c r="O874" s="2"/>
      <c r="P874" s="2"/>
      <c r="Q874" s="2"/>
      <c r="R874" s="2"/>
      <c r="S874" s="2"/>
      <c r="T874" s="2"/>
      <c r="U874" s="2"/>
      <c r="V874" s="2"/>
      <c r="W874" s="2"/>
      <c r="X874" s="2"/>
      <c r="Y874" s="2"/>
      <c r="Z874" s="2"/>
    </row>
    <row r="875">
      <c r="A875" s="2" t="str">
        <f>IFERROR(__xludf.DUMMYFUNCTION("""COMPUTED_VALUE"""),"Cursed Ring of Sudden Death")</f>
        <v>Cursed Ring of Sudden Death</v>
      </c>
      <c r="B875" s="2"/>
      <c r="C875" s="2" t="str">
        <f>IFERROR(__xludf.DUMMYFUNCTION("""COMPUTED_VALUE"""),"Item")</f>
        <v>Item</v>
      </c>
      <c r="D875" s="2" t="str">
        <f>IFERROR(__xludf.DUMMYFUNCTION("""COMPUTED_VALUE"""),"Finger")</f>
        <v>Finger</v>
      </c>
      <c r="E875" s="2">
        <f>IFERROR(__xludf.DUMMYFUNCTION("""COMPUTED_VALUE"""),1.0)</f>
        <v>1</v>
      </c>
      <c r="F875" s="2" t="str">
        <f>IFERROR(__xludf.DUMMYFUNCTION("""COMPUTED_VALUE""")," ++Can be manually activated at the beginning of battle, before turn order is set. When activated, all damage dealt to or by the wearer results in instant death for the battle. +-Cannot be forged or duplicated")</f>
        <v> ++Can be manually activated at the beginning of battle, before turn order is set. When activated, all damage dealt to or by the wearer results in instant death for the battle. +-Cannot be forged or duplicated</v>
      </c>
      <c r="G875" s="2">
        <f>IFERROR(__xludf.DUMMYFUNCTION("""COMPUTED_VALUE"""),0.0)</f>
        <v>0</v>
      </c>
      <c r="H875" s="2"/>
      <c r="I875" s="2"/>
      <c r="J875" s="2"/>
      <c r="K875" s="2"/>
      <c r="L875" s="2"/>
      <c r="M875" s="2"/>
      <c r="N875" s="2"/>
      <c r="O875" s="2"/>
      <c r="P875" s="2"/>
      <c r="Q875" s="2"/>
      <c r="R875" s="2"/>
      <c r="S875" s="2"/>
      <c r="T875" s="2"/>
      <c r="U875" s="2"/>
      <c r="V875" s="2"/>
      <c r="W875" s="2"/>
      <c r="X875" s="2"/>
      <c r="Y875" s="2"/>
      <c r="Z875" s="2"/>
    </row>
    <row r="876">
      <c r="A876" s="2" t="str">
        <f>IFERROR(__xludf.DUMMYFUNCTION("""COMPUTED_VALUE"""),"Ring of Action")</f>
        <v>Ring of Action</v>
      </c>
      <c r="B876" s="2"/>
      <c r="C876" s="2" t="str">
        <f>IFERROR(__xludf.DUMMYFUNCTION("""COMPUTED_VALUE"""),"Item")</f>
        <v>Item</v>
      </c>
      <c r="D876" s="2" t="str">
        <f>IFERROR(__xludf.DUMMYFUNCTION("""COMPUTED_VALUE"""),"Finger")</f>
        <v>Finger</v>
      </c>
      <c r="E876" s="2">
        <f>IFERROR(__xludf.DUMMYFUNCTION("""COMPUTED_VALUE"""),1.0)</f>
        <v>1</v>
      </c>
      <c r="F876" s="2" t="str">
        <f>IFERROR(__xludf.DUMMYFUNCTION("""COMPUTED_VALUE""")," ++10000 SP")</f>
        <v> ++10000 SP</v>
      </c>
      <c r="G876" s="2">
        <f>IFERROR(__xludf.DUMMYFUNCTION("""COMPUTED_VALUE"""),0.0)</f>
        <v>0</v>
      </c>
      <c r="H876" s="2"/>
      <c r="I876" s="2"/>
      <c r="J876" s="2"/>
      <c r="K876" s="2"/>
      <c r="L876" s="2"/>
      <c r="M876" s="2"/>
      <c r="N876" s="2"/>
      <c r="O876" s="2"/>
      <c r="P876" s="2"/>
      <c r="Q876" s="2"/>
      <c r="R876" s="2"/>
      <c r="S876" s="2"/>
      <c r="T876" s="2"/>
      <c r="U876" s="2"/>
      <c r="V876" s="2"/>
      <c r="W876" s="2"/>
      <c r="X876" s="2"/>
      <c r="Y876" s="2"/>
      <c r="Z876" s="2"/>
    </row>
    <row r="877">
      <c r="A877" s="2" t="str">
        <f>IFERROR(__xludf.DUMMYFUNCTION("""COMPUTED_VALUE"""),"Iguanian Mage Hat")</f>
        <v>Iguanian Mage Hat</v>
      </c>
      <c r="B877" s="2"/>
      <c r="C877" s="2" t="str">
        <f>IFERROR(__xludf.DUMMYFUNCTION("""COMPUTED_VALUE"""),"Item")</f>
        <v>Item</v>
      </c>
      <c r="D877" s="2"/>
      <c r="E877" s="2">
        <f>IFERROR(__xludf.DUMMYFUNCTION("""COMPUTED_VALUE"""),1.0)</f>
        <v>1</v>
      </c>
      <c r="F877" s="2" t="str">
        <f>IFERROR(__xludf.DUMMYFUNCTION("""COMPUTED_VALUE""")," ++10000 hp and sp")</f>
        <v> ++10000 hp and sp</v>
      </c>
      <c r="G877" s="2">
        <f>IFERROR(__xludf.DUMMYFUNCTION("""COMPUTED_VALUE"""),0.0)</f>
        <v>0</v>
      </c>
      <c r="H877" s="2"/>
      <c r="I877" s="2"/>
      <c r="J877" s="2"/>
      <c r="K877" s="2"/>
      <c r="L877" s="2"/>
      <c r="M877" s="2"/>
      <c r="N877" s="2"/>
      <c r="O877" s="2"/>
      <c r="P877" s="2"/>
      <c r="Q877" s="2"/>
      <c r="R877" s="2"/>
      <c r="S877" s="2"/>
      <c r="T877" s="2"/>
      <c r="U877" s="2"/>
      <c r="V877" s="2"/>
      <c r="W877" s="2"/>
      <c r="X877" s="2"/>
      <c r="Y877" s="2"/>
      <c r="Z877" s="2"/>
    </row>
    <row r="878">
      <c r="A878" s="2" t="str">
        <f>IFERROR(__xludf.DUMMYFUNCTION("""COMPUTED_VALUE"""),"Iguanian Mage Robes")</f>
        <v>Iguanian Mage Robes</v>
      </c>
      <c r="B878" s="2"/>
      <c r="C878" s="2" t="str">
        <f>IFERROR(__xludf.DUMMYFUNCTION("""COMPUTED_VALUE"""),"Item")</f>
        <v>Item</v>
      </c>
      <c r="D878" s="2"/>
      <c r="E878" s="2">
        <f>IFERROR(__xludf.DUMMYFUNCTION("""COMPUTED_VALUE"""),1.0)</f>
        <v>1</v>
      </c>
      <c r="F878" s="2" t="str">
        <f>IFERROR(__xludf.DUMMYFUNCTION("""COMPUTED_VALUE""")," ++10000 hp and sp")</f>
        <v> ++10000 hp and sp</v>
      </c>
      <c r="G878" s="2">
        <f>IFERROR(__xludf.DUMMYFUNCTION("""COMPUTED_VALUE"""),0.0)</f>
        <v>0</v>
      </c>
      <c r="H878" s="2"/>
      <c r="I878" s="2"/>
      <c r="J878" s="2"/>
      <c r="K878" s="2"/>
      <c r="L878" s="2"/>
      <c r="M878" s="2"/>
      <c r="N878" s="2"/>
      <c r="O878" s="2"/>
      <c r="P878" s="2"/>
      <c r="Q878" s="2"/>
      <c r="R878" s="2"/>
      <c r="S878" s="2"/>
      <c r="T878" s="2"/>
      <c r="U878" s="2"/>
      <c r="V878" s="2"/>
      <c r="W878" s="2"/>
      <c r="X878" s="2"/>
      <c r="Y878" s="2"/>
      <c r="Z878" s="2"/>
    </row>
    <row r="879">
      <c r="A879" s="2" t="str">
        <f>IFERROR(__xludf.DUMMYFUNCTION("""COMPUTED_VALUE"""),"Iguanian Mage Leggings")</f>
        <v>Iguanian Mage Leggings</v>
      </c>
      <c r="B879" s="2"/>
      <c r="C879" s="2" t="str">
        <f>IFERROR(__xludf.DUMMYFUNCTION("""COMPUTED_VALUE"""),"Item")</f>
        <v>Item</v>
      </c>
      <c r="D879" s="2"/>
      <c r="E879" s="2">
        <f>IFERROR(__xludf.DUMMYFUNCTION("""COMPUTED_VALUE"""),1.0)</f>
        <v>1</v>
      </c>
      <c r="F879" s="2" t="str">
        <f>IFERROR(__xludf.DUMMYFUNCTION("""COMPUTED_VALUE""")," ++10000 hp and sp")</f>
        <v> ++10000 hp and sp</v>
      </c>
      <c r="G879" s="2">
        <f>IFERROR(__xludf.DUMMYFUNCTION("""COMPUTED_VALUE"""),0.0)</f>
        <v>0</v>
      </c>
      <c r="H879" s="2"/>
      <c r="I879" s="2"/>
      <c r="J879" s="2"/>
      <c r="K879" s="2"/>
      <c r="L879" s="2"/>
      <c r="M879" s="2"/>
      <c r="N879" s="2"/>
      <c r="O879" s="2"/>
      <c r="P879" s="2"/>
      <c r="Q879" s="2"/>
      <c r="R879" s="2"/>
      <c r="S879" s="2"/>
      <c r="T879" s="2"/>
      <c r="U879" s="2"/>
      <c r="V879" s="2"/>
      <c r="W879" s="2"/>
      <c r="X879" s="2"/>
      <c r="Y879" s="2"/>
      <c r="Z879" s="2"/>
    </row>
    <row r="880">
      <c r="A880" s="2" t="str">
        <f>IFERROR(__xludf.DUMMYFUNCTION("""COMPUTED_VALUE"""),"Iguanian Mage Pointed Shoes")</f>
        <v>Iguanian Mage Pointed Shoes</v>
      </c>
      <c r="B880" s="2"/>
      <c r="C880" s="2" t="str">
        <f>IFERROR(__xludf.DUMMYFUNCTION("""COMPUTED_VALUE"""),"Item")</f>
        <v>Item</v>
      </c>
      <c r="D880" s="2"/>
      <c r="E880" s="2">
        <f>IFERROR(__xludf.DUMMYFUNCTION("""COMPUTED_VALUE"""),1.0)</f>
        <v>1</v>
      </c>
      <c r="F880" s="2" t="str">
        <f>IFERROR(__xludf.DUMMYFUNCTION("""COMPUTED_VALUE""")," ++10000 hp and sp")</f>
        <v> ++10000 hp and sp</v>
      </c>
      <c r="G880" s="2">
        <f>IFERROR(__xludf.DUMMYFUNCTION("""COMPUTED_VALUE"""),0.0)</f>
        <v>0</v>
      </c>
      <c r="H880" s="2"/>
      <c r="I880" s="2"/>
      <c r="J880" s="2"/>
      <c r="K880" s="2"/>
      <c r="L880" s="2"/>
      <c r="M880" s="2"/>
      <c r="N880" s="2"/>
      <c r="O880" s="2"/>
      <c r="P880" s="2"/>
      <c r="Q880" s="2"/>
      <c r="R880" s="2"/>
      <c r="S880" s="2"/>
      <c r="T880" s="2"/>
      <c r="U880" s="2"/>
      <c r="V880" s="2"/>
      <c r="W880" s="2"/>
      <c r="X880" s="2"/>
      <c r="Y880" s="2"/>
      <c r="Z880" s="2"/>
    </row>
    <row r="881">
      <c r="A881" s="2" t="str">
        <f>IFERROR(__xludf.DUMMYFUNCTION("""COMPUTED_VALUE"""),"Iguanian Mage Staff of Hail")</f>
        <v>Iguanian Mage Staff of Hail</v>
      </c>
      <c r="B881" s="2"/>
      <c r="C881" s="2" t="str">
        <f>IFERROR(__xludf.DUMMYFUNCTION("""COMPUTED_VALUE"""),"Staff")</f>
        <v>Staff</v>
      </c>
      <c r="D881" s="2"/>
      <c r="E881" s="2">
        <f>IFERROR(__xludf.DUMMYFUNCTION("""COMPUTED_VALUE"""),1.0)</f>
        <v>1</v>
      </c>
      <c r="F881" s="2" t="str">
        <f>IFERROR(__xludf.DUMMYFUNCTION("""COMPUTED_VALUE""")," ++Iguanian Tidecall: Inflicts 25000XWisdom Water damage on all enemies sp cost: 1000XWisdom sp. ++Iguanian Mage's Staff: X5 to all Water and Storm Damage ")</f>
        <v> ++Iguanian Tidecall: Inflicts 25000XWisdom Water damage on all enemies sp cost: 1000XWisdom sp. ++Iguanian Mage's Staff: X5 to all Water and Storm Damage </v>
      </c>
      <c r="G881" s="2">
        <f>IFERROR(__xludf.DUMMYFUNCTION("""COMPUTED_VALUE"""),0.0)</f>
        <v>0</v>
      </c>
      <c r="H881" s="2"/>
      <c r="I881" s="2"/>
      <c r="J881" s="2"/>
      <c r="K881" s="2"/>
      <c r="L881" s="2"/>
      <c r="M881" s="2"/>
      <c r="N881" s="2"/>
      <c r="O881" s="2"/>
      <c r="P881" s="2"/>
      <c r="Q881" s="2"/>
      <c r="R881" s="2"/>
      <c r="S881" s="2"/>
      <c r="T881" s="2"/>
      <c r="U881" s="2"/>
      <c r="V881" s="2"/>
      <c r="W881" s="2"/>
      <c r="X881" s="2"/>
      <c r="Y881" s="2"/>
      <c r="Z881" s="2"/>
    </row>
    <row r="882">
      <c r="A882" s="2" t="str">
        <f>IFERROR(__xludf.DUMMYFUNCTION("""COMPUTED_VALUE"""),"Blood Finger Ring")</f>
        <v>Blood Finger Ring</v>
      </c>
      <c r="B882" s="2"/>
      <c r="C882" s="2" t="str">
        <f>IFERROR(__xludf.DUMMYFUNCTION("""COMPUTED_VALUE"""),"Item")</f>
        <v>Item</v>
      </c>
      <c r="D882" s="2" t="str">
        <f>IFERROR(__xludf.DUMMYFUNCTION("""COMPUTED_VALUE"""),"Finger")</f>
        <v>Finger</v>
      </c>
      <c r="E882" s="2">
        <f>IFERROR(__xludf.DUMMYFUNCTION("""COMPUTED_VALUE"""),1.0)</f>
        <v>1</v>
      </c>
      <c r="F882" s="2" t="str">
        <f>IFERROR(__xludf.DUMMYFUNCTION("""COMPUTED_VALUE""")," ++Once per battle, if HP&lt;110, heal 10000 HP +-Cannot be forged or duplicated")</f>
        <v> ++Once per battle, if HP&lt;110, heal 10000 HP +-Cannot be forged or duplicated</v>
      </c>
      <c r="G882" s="2">
        <f>IFERROR(__xludf.DUMMYFUNCTION("""COMPUTED_VALUE"""),0.0)</f>
        <v>0</v>
      </c>
      <c r="H882" s="2"/>
      <c r="I882" s="2"/>
      <c r="J882" s="2"/>
      <c r="K882" s="2"/>
      <c r="L882" s="2"/>
      <c r="M882" s="2"/>
      <c r="N882" s="2"/>
      <c r="O882" s="2"/>
      <c r="P882" s="2"/>
      <c r="Q882" s="2"/>
      <c r="R882" s="2"/>
      <c r="S882" s="2"/>
      <c r="T882" s="2"/>
      <c r="U882" s="2"/>
      <c r="V882" s="2"/>
      <c r="W882" s="2"/>
      <c r="X882" s="2"/>
      <c r="Y882" s="2"/>
      <c r="Z882" s="2"/>
    </row>
    <row r="883">
      <c r="A883" s="2" t="str">
        <f>IFERROR(__xludf.DUMMYFUNCTION("""COMPUTED_VALUE"""),"Finger Food Ring")</f>
        <v>Finger Food Ring</v>
      </c>
      <c r="B883" s="2"/>
      <c r="C883" s="2" t="str">
        <f>IFERROR(__xludf.DUMMYFUNCTION("""COMPUTED_VALUE"""),"Item")</f>
        <v>Item</v>
      </c>
      <c r="D883" s="2" t="str">
        <f>IFERROR(__xludf.DUMMYFUNCTION("""COMPUTED_VALUE"""),"Finger")</f>
        <v>Finger</v>
      </c>
      <c r="E883" s="2">
        <f>IFERROR(__xludf.DUMMYFUNCTION("""COMPUTED_VALUE"""),1.0)</f>
        <v>1</v>
      </c>
      <c r="F883" s="2" t="str">
        <f>IFERROR(__xludf.DUMMYFUNCTION("""COMPUTED_VALUE""")," ++Once per journey, consume one piece of food without it being removed from inventory +-Cannot be forged or duplicated")</f>
        <v> ++Once per journey, consume one piece of food without it being removed from inventory +-Cannot be forged or duplicated</v>
      </c>
      <c r="G883" s="2">
        <f>IFERROR(__xludf.DUMMYFUNCTION("""COMPUTED_VALUE"""),0.0)</f>
        <v>0</v>
      </c>
      <c r="H883" s="2"/>
      <c r="I883" s="2"/>
      <c r="J883" s="2"/>
      <c r="K883" s="2"/>
      <c r="L883" s="2"/>
      <c r="M883" s="2"/>
      <c r="N883" s="2"/>
      <c r="O883" s="2"/>
      <c r="P883" s="2"/>
      <c r="Q883" s="2"/>
      <c r="R883" s="2"/>
      <c r="S883" s="2"/>
      <c r="T883" s="2"/>
      <c r="U883" s="2"/>
      <c r="V883" s="2"/>
      <c r="W883" s="2"/>
      <c r="X883" s="2"/>
      <c r="Y883" s="2"/>
      <c r="Z883" s="2"/>
    </row>
    <row r="884">
      <c r="A884" s="2" t="str">
        <f>IFERROR(__xludf.DUMMYFUNCTION("""COMPUTED_VALUE"""),"Ring of Power")</f>
        <v>Ring of Power</v>
      </c>
      <c r="B884" s="2"/>
      <c r="C884" s="2" t="str">
        <f>IFERROR(__xludf.DUMMYFUNCTION("""COMPUTED_VALUE"""),"Item")</f>
        <v>Item</v>
      </c>
      <c r="D884" s="2" t="str">
        <f>IFERROR(__xludf.DUMMYFUNCTION("""COMPUTED_VALUE"""),"Finger")</f>
        <v>Finger</v>
      </c>
      <c r="E884" s="2">
        <f>IFERROR(__xludf.DUMMYFUNCTION("""COMPUTED_VALUE"""),1.0)</f>
        <v>1</v>
      </c>
      <c r="F884" s="2" t="str">
        <f>IFERROR(__xludf.DUMMYFUNCTION("""COMPUTED_VALUE""")," ++1500 ATK and ACC")</f>
        <v> ++1500 ATK and ACC</v>
      </c>
      <c r="G884" s="2">
        <f>IFERROR(__xludf.DUMMYFUNCTION("""COMPUTED_VALUE"""),0.0)</f>
        <v>0</v>
      </c>
      <c r="H884" s="2"/>
      <c r="I884" s="2"/>
      <c r="J884" s="2"/>
      <c r="K884" s="2"/>
      <c r="L884" s="2"/>
      <c r="M884" s="2"/>
      <c r="N884" s="2"/>
      <c r="O884" s="2"/>
      <c r="P884" s="2"/>
      <c r="Q884" s="2"/>
      <c r="R884" s="2"/>
      <c r="S884" s="2"/>
      <c r="T884" s="2"/>
      <c r="U884" s="2"/>
      <c r="V884" s="2"/>
      <c r="W884" s="2"/>
      <c r="X884" s="2"/>
      <c r="Y884" s="2"/>
      <c r="Z884" s="2"/>
    </row>
    <row r="885">
      <c r="A885" s="2" t="str">
        <f>IFERROR(__xludf.DUMMYFUNCTION("""COMPUTED_VALUE"""),"Axe of Red")</f>
        <v>Axe of Red</v>
      </c>
      <c r="B885" s="2"/>
      <c r="C885" s="2" t="str">
        <f>IFERROR(__xludf.DUMMYFUNCTION("""COMPUTED_VALUE"""),"Axe")</f>
        <v>Axe</v>
      </c>
      <c r="D885" s="2" t="str">
        <f>IFERROR(__xludf.DUMMYFUNCTION("""COMPUTED_VALUE"""),"Hand")</f>
        <v>Hand</v>
      </c>
      <c r="E885" s="2">
        <f>IFERROR(__xludf.DUMMYFUNCTION("""COMPUTED_VALUE"""),4500.0)</f>
        <v>4500</v>
      </c>
      <c r="F885" s="2" t="str">
        <f>IFERROR(__xludf.DUMMYFUNCTION("""COMPUTED_VALUE"""),", Fire DMG: +75000, Chaos DMG: +75000, Blood DMG: +75000")</f>
        <v>, Fire DMG: +75000, Chaos DMG: +75000, Blood DMG: +75000</v>
      </c>
      <c r="G885" s="2">
        <f>IFERROR(__xludf.DUMMYFUNCTION("""COMPUTED_VALUE"""),1.01025E9)</f>
        <v>1010250000</v>
      </c>
      <c r="H885" s="2"/>
      <c r="I885" s="2"/>
      <c r="J885" s="2"/>
      <c r="K885" s="2"/>
      <c r="L885" s="2"/>
      <c r="M885" s="2"/>
      <c r="N885" s="2"/>
      <c r="O885" s="2"/>
      <c r="P885" s="2"/>
      <c r="Q885" s="2"/>
      <c r="R885" s="2"/>
      <c r="S885" s="2"/>
      <c r="T885" s="2"/>
      <c r="U885" s="2"/>
      <c r="V885" s="2"/>
      <c r="W885" s="2"/>
      <c r="X885" s="2"/>
      <c r="Y885" s="2"/>
      <c r="Z885" s="2"/>
    </row>
    <row r="886">
      <c r="A886" s="2" t="str">
        <f>IFERROR(__xludf.DUMMYFUNCTION("""COMPUTED_VALUE"""),"Wyrmscale Staff")</f>
        <v>Wyrmscale Staff</v>
      </c>
      <c r="B886" s="2"/>
      <c r="C886" s="2" t="str">
        <f>IFERROR(__xludf.DUMMYFUNCTION("""COMPUTED_VALUE"""),"Staff")</f>
        <v>Staff</v>
      </c>
      <c r="D886" s="2" t="str">
        <f>IFERROR(__xludf.DUMMYFUNCTION("""COMPUTED_VALUE"""),"Hand")</f>
        <v>Hand</v>
      </c>
      <c r="E886" s="2">
        <f>IFERROR(__xludf.DUMMYFUNCTION("""COMPUTED_VALUE"""),1.0)</f>
        <v>1</v>
      </c>
      <c r="F886" s="2" t="str">
        <f>IFERROR(__xludf.DUMMYFUNCTION("""COMPUTED_VALUE""")," ++Spells have double effect when cast on dragons +-Cannot be forged or duplicated")</f>
        <v> ++Spells have double effect when cast on dragons +-Cannot be forged or duplicated</v>
      </c>
      <c r="G886" s="2">
        <f>IFERROR(__xludf.DUMMYFUNCTION("""COMPUTED_VALUE"""),0.0)</f>
        <v>0</v>
      </c>
      <c r="H886" s="2"/>
      <c r="I886" s="2"/>
      <c r="J886" s="2"/>
      <c r="K886" s="2"/>
      <c r="L886" s="2"/>
      <c r="M886" s="2"/>
      <c r="N886" s="2"/>
      <c r="O886" s="2"/>
      <c r="P886" s="2"/>
      <c r="Q886" s="2"/>
      <c r="R886" s="2"/>
      <c r="S886" s="2"/>
      <c r="T886" s="2"/>
      <c r="U886" s="2"/>
      <c r="V886" s="2"/>
      <c r="W886" s="2"/>
      <c r="X886" s="2"/>
      <c r="Y886" s="2"/>
      <c r="Z886" s="2"/>
    </row>
    <row r="887">
      <c r="A887" s="2" t="str">
        <f>IFERROR(__xludf.DUMMYFUNCTION("""COMPUTED_VALUE"""),"Wyrmscale Wand")</f>
        <v>Wyrmscale Wand</v>
      </c>
      <c r="B887" s="2"/>
      <c r="C887" s="2" t="str">
        <f>IFERROR(__xludf.DUMMYFUNCTION("""COMPUTED_VALUE"""),"Wand")</f>
        <v>Wand</v>
      </c>
      <c r="D887" s="2" t="str">
        <f>IFERROR(__xludf.DUMMYFUNCTION("""COMPUTED_VALUE"""),"Hand")</f>
        <v>Hand</v>
      </c>
      <c r="E887" s="2">
        <f>IFERROR(__xludf.DUMMYFUNCTION("""COMPUTED_VALUE"""),1.0)</f>
        <v>1</v>
      </c>
      <c r="F887" s="2" t="str">
        <f>IFERROR(__xludf.DUMMYFUNCTION("""COMPUTED_VALUE""")," ++Half the SP/HP cost of spells when in the presence of a dragon +-Cannot be forged or duplicated")</f>
        <v> ++Half the SP/HP cost of spells when in the presence of a dragon +-Cannot be forged or duplicated</v>
      </c>
      <c r="G887" s="2">
        <f>IFERROR(__xludf.DUMMYFUNCTION("""COMPUTED_VALUE"""),0.0)</f>
        <v>0</v>
      </c>
      <c r="H887" s="2"/>
      <c r="I887" s="2"/>
      <c r="J887" s="2"/>
      <c r="K887" s="2"/>
      <c r="L887" s="2"/>
      <c r="M887" s="2"/>
      <c r="N887" s="2"/>
      <c r="O887" s="2"/>
      <c r="P887" s="2"/>
      <c r="Q887" s="2"/>
      <c r="R887" s="2"/>
      <c r="S887" s="2"/>
      <c r="T887" s="2"/>
      <c r="U887" s="2"/>
      <c r="V887" s="2"/>
      <c r="W887" s="2"/>
      <c r="X887" s="2"/>
      <c r="Y887" s="2"/>
      <c r="Z887" s="2"/>
    </row>
    <row r="888">
      <c r="A888" s="2" t="str">
        <f>IFERROR(__xludf.DUMMYFUNCTION("""COMPUTED_VALUE"""),"Nothing")</f>
        <v>Nothing</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t="str">
        <f>IFERROR(__xludf.DUMMYFUNCTION("""COMPUTED_VALUE"""),"Slime core")</f>
        <v>Slime core</v>
      </c>
      <c r="B889" s="2" t="str">
        <f>IFERROR(__xludf.DUMMYFUNCTION("""COMPUTED_VALUE"""),"restores 5 SP; can be used to make mana potions")</f>
        <v>restores 5 SP; can be used to make mana potions</v>
      </c>
      <c r="C889" s="2" t="str">
        <f>IFERROR(__xludf.DUMMYFUNCTION("""COMPUTED_VALUE"""),"Item")</f>
        <v>Item</v>
      </c>
      <c r="D889" s="2"/>
      <c r="E889" s="2"/>
      <c r="F889" s="2"/>
      <c r="G889" s="2"/>
      <c r="H889" s="2"/>
      <c r="I889" s="2"/>
      <c r="J889" s="2"/>
      <c r="K889" s="2"/>
      <c r="L889" s="2"/>
      <c r="M889" s="2"/>
      <c r="N889" s="2"/>
      <c r="O889" s="2"/>
      <c r="P889" s="2"/>
      <c r="Q889" s="2"/>
      <c r="R889" s="2"/>
      <c r="S889" s="2"/>
      <c r="T889" s="2"/>
      <c r="U889" s="2"/>
      <c r="V889" s="2"/>
      <c r="W889" s="2"/>
      <c r="X889" s="2"/>
      <c r="Y889" s="2"/>
      <c r="Z889" s="2"/>
    </row>
    <row r="890">
      <c r="A890" s="2" t="str">
        <f>IFERROR(__xludf.DUMMYFUNCTION("""COMPUTED_VALUE"""),"Mysterious egg")</f>
        <v>Mysterious egg</v>
      </c>
      <c r="B890" s="2" t="str">
        <f>IFERROR(__xludf.DUMMYFUNCTION("""COMPUTED_VALUE"""),"This egg will be determined by DM/GM")</f>
        <v>This egg will be determined by DM/GM</v>
      </c>
      <c r="C890" s="2" t="str">
        <f>IFERROR(__xludf.DUMMYFUNCTION("""COMPUTED_VALUE"""),"Item")</f>
        <v>Item</v>
      </c>
      <c r="D890" s="2"/>
      <c r="E890" s="2"/>
      <c r="F890" s="2"/>
      <c r="G890" s="2"/>
      <c r="H890" s="2"/>
      <c r="I890" s="2"/>
      <c r="J890" s="2"/>
      <c r="K890" s="2"/>
      <c r="L890" s="2"/>
      <c r="M890" s="2"/>
      <c r="N890" s="2"/>
      <c r="O890" s="2"/>
      <c r="P890" s="2"/>
      <c r="Q890" s="2"/>
      <c r="R890" s="2"/>
      <c r="S890" s="2"/>
      <c r="T890" s="2"/>
      <c r="U890" s="2"/>
      <c r="V890" s="2"/>
      <c r="W890" s="2"/>
      <c r="X890" s="2"/>
      <c r="Y890" s="2"/>
      <c r="Z890" s="2"/>
    </row>
    <row r="891">
      <c r="A891" s="2" t="str">
        <f>IFERROR(__xludf.DUMMYFUNCTION("""COMPUTED_VALUE"""),"Emerald of Luck")</f>
        <v>Emerald of Luck</v>
      </c>
      <c r="B891" s="2" t="str">
        <f>IFERROR(__xludf.DUMMYFUNCTION("""COMPUTED_VALUE"""),"It’s said when holding one of these you feel like it's a happy spring day...")</f>
        <v>It’s said when holding one of these you feel like it's a happy spring day...</v>
      </c>
      <c r="C891" s="2" t="str">
        <f>IFERROR(__xludf.DUMMYFUNCTION("""COMPUTED_VALUE"""),"Item")</f>
        <v>Item</v>
      </c>
      <c r="D891" s="2"/>
      <c r="E891" s="2"/>
      <c r="F891" s="2"/>
      <c r="G891" s="2"/>
      <c r="H891" s="2"/>
      <c r="I891" s="2"/>
      <c r="J891" s="2"/>
      <c r="K891" s="2"/>
      <c r="L891" s="2"/>
      <c r="M891" s="2"/>
      <c r="N891" s="2"/>
      <c r="O891" s="2"/>
      <c r="P891" s="2"/>
      <c r="Q891" s="2"/>
      <c r="R891" s="2"/>
      <c r="S891" s="2"/>
      <c r="T891" s="2"/>
      <c r="U891" s="2"/>
      <c r="V891" s="2"/>
      <c r="W891" s="2"/>
      <c r="X891" s="2"/>
      <c r="Y891" s="2"/>
      <c r="Z891" s="2"/>
    </row>
    <row r="892">
      <c r="A892" s="2" t="str">
        <f>IFERROR(__xludf.DUMMYFUNCTION("""COMPUTED_VALUE"""),"Gold")</f>
        <v>Gold</v>
      </c>
      <c r="B892" s="2" t="str">
        <f>IFERROR(__xludf.DUMMYFUNCTION("""COMPUTED_VALUE"""),"Crafting Material, roll a d20 to see how many you get if this is a loot drop.l. Can be used to repair an item.")</f>
        <v>Crafting Material, roll a d20 to see how many you get if this is a loot drop.l. Can be used to repair an item.</v>
      </c>
      <c r="C892" s="2" t="str">
        <f>IFERROR(__xludf.DUMMYFUNCTION("""COMPUTED_VALUE"""),"Item")</f>
        <v>Item</v>
      </c>
      <c r="D892" s="2"/>
      <c r="E892" s="2"/>
      <c r="F892" s="2"/>
      <c r="G892" s="2"/>
      <c r="H892" s="2"/>
      <c r="I892" s="2"/>
      <c r="J892" s="2"/>
      <c r="K892" s="2"/>
      <c r="L892" s="2"/>
      <c r="M892" s="2"/>
      <c r="N892" s="2"/>
      <c r="O892" s="2"/>
      <c r="P892" s="2"/>
      <c r="Q892" s="2"/>
      <c r="R892" s="2"/>
      <c r="S892" s="2"/>
      <c r="T892" s="2"/>
      <c r="U892" s="2"/>
      <c r="V892" s="2"/>
      <c r="W892" s="2"/>
      <c r="X892" s="2"/>
      <c r="Y892" s="2"/>
      <c r="Z892" s="2"/>
    </row>
    <row r="893">
      <c r="A893" s="2" t="str">
        <f>IFERROR(__xludf.DUMMYFUNCTION("""COMPUTED_VALUE"""),"Iron")</f>
        <v>Iron</v>
      </c>
      <c r="B893" s="2" t="str">
        <f>IFERROR(__xludf.DUMMYFUNCTION("""COMPUTED_VALUE"""),"Crafting Material, roll a d20 to see how many you get if this is a loot drop.. Can be used to repair an item.")</f>
        <v>Crafting Material, roll a d20 to see how many you get if this is a loot drop.. Can be used to repair an item.</v>
      </c>
      <c r="C893" s="2" t="str">
        <f>IFERROR(__xludf.DUMMYFUNCTION("""COMPUTED_VALUE"""),"Item")</f>
        <v>Item</v>
      </c>
      <c r="D893" s="2"/>
      <c r="E893" s="2"/>
      <c r="F893" s="2"/>
      <c r="G893" s="2"/>
      <c r="H893" s="2"/>
      <c r="I893" s="2"/>
      <c r="J893" s="2"/>
      <c r="K893" s="2"/>
      <c r="L893" s="2"/>
      <c r="M893" s="2"/>
      <c r="N893" s="2"/>
      <c r="O893" s="2"/>
      <c r="P893" s="2"/>
      <c r="Q893" s="2"/>
      <c r="R893" s="2"/>
      <c r="S893" s="2"/>
      <c r="T893" s="2"/>
      <c r="U893" s="2"/>
      <c r="V893" s="2"/>
      <c r="W893" s="2"/>
      <c r="X893" s="2"/>
      <c r="Y893" s="2"/>
      <c r="Z893" s="2"/>
    </row>
    <row r="894">
      <c r="A894" s="2" t="str">
        <f>IFERROR(__xludf.DUMMYFUNCTION("""COMPUTED_VALUE"""),"Dragon scales")</f>
        <v>Dragon scales</v>
      </c>
      <c r="B894" s="2" t="str">
        <f>IFERROR(__xludf.DUMMYFUNCTION("""COMPUTED_VALUE"""),"Crafting Material, roll a d20 to see how many you get if this is a loot drop.. Can be used to repair an item.")</f>
        <v>Crafting Material, roll a d20 to see how many you get if this is a loot drop.. Can be used to repair an item.</v>
      </c>
      <c r="C894" s="2" t="str">
        <f>IFERROR(__xludf.DUMMYFUNCTION("""COMPUTED_VALUE"""),"Item")</f>
        <v>Item</v>
      </c>
      <c r="D894" s="2"/>
      <c r="E894" s="2"/>
      <c r="F894" s="2"/>
      <c r="G894" s="2"/>
      <c r="H894" s="2"/>
      <c r="I894" s="2"/>
      <c r="J894" s="2"/>
      <c r="K894" s="2"/>
      <c r="L894" s="2"/>
      <c r="M894" s="2"/>
      <c r="N894" s="2"/>
      <c r="O894" s="2"/>
      <c r="P894" s="2"/>
      <c r="Q894" s="2"/>
      <c r="R894" s="2"/>
      <c r="S894" s="2"/>
      <c r="T894" s="2"/>
      <c r="U894" s="2"/>
      <c r="V894" s="2"/>
      <c r="W894" s="2"/>
      <c r="X894" s="2"/>
      <c r="Y894" s="2"/>
      <c r="Z894" s="2"/>
    </row>
    <row r="895">
      <c r="A895" s="2" t="str">
        <f>IFERROR(__xludf.DUMMYFUNCTION("""COMPUTED_VALUE"""),"Desert Emerald")</f>
        <v>Desert Emerald</v>
      </c>
      <c r="B895" s="2" t="str">
        <f>IFERROR(__xludf.DUMMYFUNCTION("""COMPUTED_VALUE"""),"Crafting Material, roll a d20 to see how many you get if this is a loot drop.. Can be used to repair an item.")</f>
        <v>Crafting Material, roll a d20 to see how many you get if this is a loot drop.. Can be used to repair an item.</v>
      </c>
      <c r="C895" s="2" t="str">
        <f>IFERROR(__xludf.DUMMYFUNCTION("""COMPUTED_VALUE"""),"Item")</f>
        <v>Item</v>
      </c>
      <c r="D895" s="2"/>
      <c r="E895" s="2"/>
      <c r="F895" s="2"/>
      <c r="G895" s="2"/>
      <c r="H895" s="2"/>
      <c r="I895" s="2"/>
      <c r="J895" s="2"/>
      <c r="K895" s="2"/>
      <c r="L895" s="2"/>
      <c r="M895" s="2"/>
      <c r="N895" s="2"/>
      <c r="O895" s="2"/>
      <c r="P895" s="2"/>
      <c r="Q895" s="2"/>
      <c r="R895" s="2"/>
      <c r="S895" s="2"/>
      <c r="T895" s="2"/>
      <c r="U895" s="2"/>
      <c r="V895" s="2"/>
      <c r="W895" s="2"/>
      <c r="X895" s="2"/>
      <c r="Y895" s="2"/>
      <c r="Z895" s="2"/>
    </row>
    <row r="896">
      <c r="A896" s="2" t="str">
        <f>IFERROR(__xludf.DUMMYFUNCTION("""COMPUTED_VALUE"""),"Desert Ruby")</f>
        <v>Desert Ruby</v>
      </c>
      <c r="B896" s="2" t="str">
        <f>IFERROR(__xludf.DUMMYFUNCTION("""COMPUTED_VALUE"""),"Crafting Material, roll a d20 to see how many you get if this is a loot drop.. Can be used to repair an item.")</f>
        <v>Crafting Material, roll a d20 to see how many you get if this is a loot drop.. Can be used to repair an item.</v>
      </c>
      <c r="C896" s="2" t="str">
        <f>IFERROR(__xludf.DUMMYFUNCTION("""COMPUTED_VALUE"""),"Item")</f>
        <v>Item</v>
      </c>
      <c r="D896" s="2"/>
      <c r="E896" s="2"/>
      <c r="F896" s="2"/>
      <c r="G896" s="2"/>
      <c r="H896" s="2"/>
      <c r="I896" s="2"/>
      <c r="J896" s="2"/>
      <c r="K896" s="2"/>
      <c r="L896" s="2"/>
      <c r="M896" s="2"/>
      <c r="N896" s="2"/>
      <c r="O896" s="2"/>
      <c r="P896" s="2"/>
      <c r="Q896" s="2"/>
      <c r="R896" s="2"/>
      <c r="S896" s="2"/>
      <c r="T896" s="2"/>
      <c r="U896" s="2"/>
      <c r="V896" s="2"/>
      <c r="W896" s="2"/>
      <c r="X896" s="2"/>
      <c r="Y896" s="2"/>
      <c r="Z896" s="2"/>
    </row>
    <row r="897">
      <c r="A897" s="2" t="str">
        <f>IFERROR(__xludf.DUMMYFUNCTION("""COMPUTED_VALUE"""),"Diamonds")</f>
        <v>Diamonds</v>
      </c>
      <c r="B897" s="2" t="str">
        <f>IFERROR(__xludf.DUMMYFUNCTION("""COMPUTED_VALUE"""),"Crafting Material, roll a d20 to see how many you get if this is a loot drop.. Can be used to repair an item.")</f>
        <v>Crafting Material, roll a d20 to see how many you get if this is a loot drop.. Can be used to repair an item.</v>
      </c>
      <c r="C897" s="2" t="str">
        <f>IFERROR(__xludf.DUMMYFUNCTION("""COMPUTED_VALUE"""),"Item")</f>
        <v>Item</v>
      </c>
      <c r="D897" s="2"/>
      <c r="E897" s="2"/>
      <c r="F897" s="2"/>
      <c r="G897" s="2"/>
      <c r="H897" s="2"/>
      <c r="I897" s="2"/>
      <c r="J897" s="2"/>
      <c r="K897" s="2"/>
      <c r="L897" s="2"/>
      <c r="M897" s="2"/>
      <c r="N897" s="2"/>
      <c r="O897" s="2"/>
      <c r="P897" s="2"/>
      <c r="Q897" s="2"/>
      <c r="R897" s="2"/>
      <c r="S897" s="2"/>
      <c r="T897" s="2"/>
      <c r="U897" s="2"/>
      <c r="V897" s="2"/>
      <c r="W897" s="2"/>
      <c r="X897" s="2"/>
      <c r="Y897" s="2"/>
      <c r="Z897" s="2"/>
    </row>
    <row r="898">
      <c r="A898" s="2" t="str">
        <f>IFERROR(__xludf.DUMMYFUNCTION("""COMPUTED_VALUE"""),"Bricks")</f>
        <v>Bricks</v>
      </c>
      <c r="B898" s="2" t="str">
        <f>IFERROR(__xludf.DUMMYFUNCTION("""COMPUTED_VALUE"""),"Crafting Material, roll a d20 to see how many you get if this is a loot drop.. Can be used to repair an item.")</f>
        <v>Crafting Material, roll a d20 to see how many you get if this is a loot drop.. Can be used to repair an item.</v>
      </c>
      <c r="C898" s="2" t="str">
        <f>IFERROR(__xludf.DUMMYFUNCTION("""COMPUTED_VALUE"""),"Item")</f>
        <v>Item</v>
      </c>
      <c r="D898" s="2"/>
      <c r="E898" s="2"/>
      <c r="F898" s="2"/>
      <c r="G898" s="2"/>
      <c r="H898" s="2"/>
      <c r="I898" s="2"/>
      <c r="J898" s="2"/>
      <c r="K898" s="2"/>
      <c r="L898" s="2"/>
      <c r="M898" s="2"/>
      <c r="N898" s="2"/>
      <c r="O898" s="2"/>
      <c r="P898" s="2"/>
      <c r="Q898" s="2"/>
      <c r="R898" s="2"/>
      <c r="S898" s="2"/>
      <c r="T898" s="2"/>
      <c r="U898" s="2"/>
      <c r="V898" s="2"/>
      <c r="W898" s="2"/>
      <c r="X898" s="2"/>
      <c r="Y898" s="2"/>
      <c r="Z898" s="2"/>
    </row>
    <row r="899">
      <c r="A899" s="2" t="str">
        <f>IFERROR(__xludf.DUMMYFUNCTION("""COMPUTED_VALUE"""),"Obsidian")</f>
        <v>Obsidian</v>
      </c>
      <c r="B899" s="2" t="str">
        <f>IFERROR(__xludf.DUMMYFUNCTION("""COMPUTED_VALUE"""),"Crafting Material, roll a d20 to see how many you get if this is a loot drop., roll a d20 to see how many you get if this is a loot drop.. Can be used to repair an item.")</f>
        <v>Crafting Material, roll a d20 to see how many you get if this is a loot drop., roll a d20 to see how many you get if this is a loot drop.. Can be used to repair an item.</v>
      </c>
      <c r="C899" s="2" t="str">
        <f>IFERROR(__xludf.DUMMYFUNCTION("""COMPUTED_VALUE"""),"Item")</f>
        <v>Item</v>
      </c>
      <c r="D899" s="2"/>
      <c r="E899" s="2"/>
      <c r="F899" s="2"/>
      <c r="G899" s="2"/>
      <c r="H899" s="2"/>
      <c r="I899" s="2"/>
      <c r="J899" s="2"/>
      <c r="K899" s="2"/>
      <c r="L899" s="2"/>
      <c r="M899" s="2"/>
      <c r="N899" s="2"/>
      <c r="O899" s="2"/>
      <c r="P899" s="2"/>
      <c r="Q899" s="2"/>
      <c r="R899" s="2"/>
      <c r="S899" s="2"/>
      <c r="T899" s="2"/>
      <c r="U899" s="2"/>
      <c r="V899" s="2"/>
      <c r="W899" s="2"/>
      <c r="X899" s="2"/>
      <c r="Y899" s="2"/>
      <c r="Z899" s="2"/>
    </row>
    <row r="900">
      <c r="A900" s="2" t="str">
        <f>IFERROR(__xludf.DUMMYFUNCTION("""COMPUTED_VALUE"""),"Sand")</f>
        <v>Sand</v>
      </c>
      <c r="B900" s="2" t="str">
        <f>IFERROR(__xludf.DUMMYFUNCTION("""COMPUTED_VALUE"""),"Crafting Material, roll a d20 to see how many you get if this is a loot drop., roll a d20 to see how many you get if this is a loot drop.")</f>
        <v>Crafting Material, roll a d20 to see how many you get if this is a loot drop., roll a d20 to see how many you get if this is a loot drop.</v>
      </c>
      <c r="C900" s="2" t="str">
        <f>IFERROR(__xludf.DUMMYFUNCTION("""COMPUTED_VALUE"""),"Item")</f>
        <v>Item</v>
      </c>
      <c r="D900" s="2"/>
      <c r="E900" s="2"/>
      <c r="F900" s="2"/>
      <c r="G900" s="2"/>
      <c r="H900" s="2"/>
      <c r="I900" s="2"/>
      <c r="J900" s="2"/>
      <c r="K900" s="2"/>
      <c r="L900" s="2"/>
      <c r="M900" s="2"/>
      <c r="N900" s="2"/>
      <c r="O900" s="2"/>
      <c r="P900" s="2"/>
      <c r="Q900" s="2"/>
      <c r="R900" s="2"/>
      <c r="S900" s="2"/>
      <c r="T900" s="2"/>
      <c r="U900" s="2"/>
      <c r="V900" s="2"/>
      <c r="W900" s="2"/>
      <c r="X900" s="2"/>
      <c r="Y900" s="2"/>
      <c r="Z900" s="2"/>
    </row>
    <row r="901">
      <c r="A901" s="2" t="str">
        <f>IFERROR(__xludf.DUMMYFUNCTION("""COMPUTED_VALUE"""),"Glowing rocks")</f>
        <v>Glowing rocks</v>
      </c>
      <c r="B901" s="2" t="str">
        <f>IFERROR(__xludf.DUMMYFUNCTION("""COMPUTED_VALUE""")," Can be forged into armor or a weapon to give it +200 additional light damage or resistance")</f>
        <v> Can be forged into armor or a weapon to give it +200 additional light damage or resistance</v>
      </c>
      <c r="C901" s="2" t="str">
        <f>IFERROR(__xludf.DUMMYFUNCTION("""COMPUTED_VALUE"""),"Item")</f>
        <v>Item</v>
      </c>
      <c r="D901" s="2"/>
      <c r="E901" s="2"/>
      <c r="F901" s="2"/>
      <c r="G901" s="2"/>
      <c r="H901" s="2"/>
      <c r="I901" s="2"/>
      <c r="J901" s="2"/>
      <c r="K901" s="2"/>
      <c r="L901" s="2"/>
      <c r="M901" s="2"/>
      <c r="N901" s="2"/>
      <c r="O901" s="2"/>
      <c r="P901" s="2"/>
      <c r="Q901" s="2"/>
      <c r="R901" s="2"/>
      <c r="S901" s="2"/>
      <c r="T901" s="2"/>
      <c r="U901" s="2"/>
      <c r="V901" s="2"/>
      <c r="W901" s="2"/>
      <c r="X901" s="2"/>
      <c r="Y901" s="2"/>
      <c r="Z901" s="2"/>
    </row>
    <row r="902">
      <c r="A902" s="2" t="str">
        <f>IFERROR(__xludf.DUMMYFUNCTION("""COMPUTED_VALUE"""),"Steel")</f>
        <v>Steel</v>
      </c>
      <c r="B902" s="2" t="str">
        <f>IFERROR(__xludf.DUMMYFUNCTION("""COMPUTED_VALUE"""),"Crafting Material, roll a d20 to see how many you get if this is a loot drop. Can be used to repair an item. ")</f>
        <v>Crafting Material, roll a d20 to see how many you get if this is a loot drop. Can be used to repair an item. </v>
      </c>
      <c r="C902" s="2" t="str">
        <f>IFERROR(__xludf.DUMMYFUNCTION("""COMPUTED_VALUE"""),"Item")</f>
        <v>Item</v>
      </c>
      <c r="D902" s="2"/>
      <c r="E902" s="2"/>
      <c r="F902" s="2"/>
      <c r="G902" s="2"/>
      <c r="H902" s="2"/>
      <c r="I902" s="2"/>
      <c r="J902" s="2"/>
      <c r="K902" s="2"/>
      <c r="L902" s="2"/>
      <c r="M902" s="2"/>
      <c r="N902" s="2"/>
      <c r="O902" s="2"/>
      <c r="P902" s="2"/>
      <c r="Q902" s="2"/>
      <c r="R902" s="2"/>
      <c r="S902" s="2"/>
      <c r="T902" s="2"/>
      <c r="U902" s="2"/>
      <c r="V902" s="2"/>
      <c r="W902" s="2"/>
      <c r="X902" s="2"/>
      <c r="Y902" s="2"/>
      <c r="Z902" s="2"/>
    </row>
    <row r="903">
      <c r="A903" s="2" t="str">
        <f>IFERROR(__xludf.DUMMYFUNCTION("""COMPUTED_VALUE"""),"Silver")</f>
        <v>Silver</v>
      </c>
      <c r="B903" s="2" t="str">
        <f>IFERROR(__xludf.DUMMYFUNCTION("""COMPUTED_VALUE"""),"Crafting Material, roll a d20 to see how many you get if this is a loot drop., roll a d20 to see how many you get if this is a loot drop., roll a d20 to see how many you get if this is a loot drop.. Can be used to repair an item.")</f>
        <v>Crafting Material, roll a d20 to see how many you get if this is a loot drop., roll a d20 to see how many you get if this is a loot drop., roll a d20 to see how many you get if this is a loot drop.. Can be used to repair an item.</v>
      </c>
      <c r="C903" s="2" t="str">
        <f>IFERROR(__xludf.DUMMYFUNCTION("""COMPUTED_VALUE"""),"Item")</f>
        <v>Item</v>
      </c>
      <c r="D903" s="2"/>
      <c r="E903" s="2"/>
      <c r="F903" s="2"/>
      <c r="G903" s="2"/>
      <c r="H903" s="2"/>
      <c r="I903" s="2"/>
      <c r="J903" s="2"/>
      <c r="K903" s="2"/>
      <c r="L903" s="2"/>
      <c r="M903" s="2"/>
      <c r="N903" s="2"/>
      <c r="O903" s="2"/>
      <c r="P903" s="2"/>
      <c r="Q903" s="2"/>
      <c r="R903" s="2"/>
      <c r="S903" s="2"/>
      <c r="T903" s="2"/>
      <c r="U903" s="2"/>
      <c r="V903" s="2"/>
      <c r="W903" s="2"/>
      <c r="X903" s="2"/>
      <c r="Y903" s="2"/>
      <c r="Z903" s="2"/>
    </row>
    <row r="904">
      <c r="A904" s="2" t="str">
        <f>IFERROR(__xludf.DUMMYFUNCTION("""COMPUTED_VALUE"""),"Chains")</f>
        <v>Chains</v>
      </c>
      <c r="B904" s="2" t="str">
        <f>IFERROR(__xludf.DUMMYFUNCTION("""COMPUTED_VALUE"""),"Crafting Material, roll a d20 to see how many you get if this is a loot drop., roll a d20 to see how many you get if this is a loot drop.")</f>
        <v>Crafting Material, roll a d20 to see how many you get if this is a loot drop., roll a d20 to see how many you get if this is a loot drop.</v>
      </c>
      <c r="C904" s="2" t="str">
        <f>IFERROR(__xludf.DUMMYFUNCTION("""COMPUTED_VALUE"""),"Item")</f>
        <v>Item</v>
      </c>
      <c r="D904" s="2"/>
      <c r="E904" s="2"/>
      <c r="F904" s="2"/>
      <c r="G904" s="2"/>
      <c r="H904" s="2"/>
      <c r="I904" s="2"/>
      <c r="J904" s="2"/>
      <c r="K904" s="2"/>
      <c r="L904" s="2"/>
      <c r="M904" s="2"/>
      <c r="N904" s="2"/>
      <c r="O904" s="2"/>
      <c r="P904" s="2"/>
      <c r="Q904" s="2"/>
      <c r="R904" s="2"/>
      <c r="S904" s="2"/>
      <c r="T904" s="2"/>
      <c r="U904" s="2"/>
      <c r="V904" s="2"/>
      <c r="W904" s="2"/>
      <c r="X904" s="2"/>
      <c r="Y904" s="2"/>
      <c r="Z904" s="2"/>
    </row>
    <row r="905">
      <c r="A905" s="2" t="str">
        <f>IFERROR(__xludf.DUMMYFUNCTION("""COMPUTED_VALUE"""),"Steel Pickaxe ")</f>
        <v>Steel Pickaxe </v>
      </c>
      <c r="B905" s="2" t="str">
        <f>IFERROR(__xludf.DUMMYFUNCTION("""COMPUTED_VALUE"""),"40/40 Uses. Used for mining.")</f>
        <v>40/40 Uses. Used for mining.</v>
      </c>
      <c r="C905" s="2" t="str">
        <f>IFERROR(__xludf.DUMMYFUNCTION("""COMPUTED_VALUE"""),"Item")</f>
        <v>Item</v>
      </c>
      <c r="D905" s="2"/>
      <c r="E905" s="2"/>
      <c r="F905" s="2"/>
      <c r="G905" s="2"/>
      <c r="H905" s="2"/>
      <c r="I905" s="2"/>
      <c r="J905" s="2"/>
      <c r="K905" s="2"/>
      <c r="L905" s="2"/>
      <c r="M905" s="2"/>
      <c r="N905" s="2"/>
      <c r="O905" s="2"/>
      <c r="P905" s="2"/>
      <c r="Q905" s="2"/>
      <c r="R905" s="2"/>
      <c r="S905" s="2"/>
      <c r="T905" s="2"/>
      <c r="U905" s="2"/>
      <c r="V905" s="2"/>
      <c r="W905" s="2"/>
      <c r="X905" s="2"/>
      <c r="Y905" s="2"/>
      <c r="Z905" s="2"/>
    </row>
    <row r="906">
      <c r="A906" s="2" t="str">
        <f>IFERROR(__xludf.DUMMYFUNCTION("""COMPUTED_VALUE"""),"Haggis Bowl")</f>
        <v>Haggis Bowl</v>
      </c>
      <c r="B906" s="2" t="str">
        <f>IFERROR(__xludf.DUMMYFUNCTION("""COMPUTED_VALUE"""),"Restores 75 Hunger +50 energy")</f>
        <v>Restores 75 Hunger +50 energy</v>
      </c>
      <c r="C906" s="2" t="str">
        <f>IFERROR(__xludf.DUMMYFUNCTION("""COMPUTED_VALUE"""),"Crop")</f>
        <v>Crop</v>
      </c>
      <c r="D906" s="2"/>
      <c r="E906" s="2"/>
      <c r="F906" s="2"/>
      <c r="G906" s="2"/>
      <c r="H906" s="2"/>
      <c r="I906" s="2"/>
      <c r="J906" s="2"/>
      <c r="K906" s="2"/>
      <c r="L906" s="2"/>
      <c r="M906" s="2"/>
      <c r="N906" s="2"/>
      <c r="O906" s="2"/>
      <c r="P906" s="2"/>
      <c r="Q906" s="2"/>
      <c r="R906" s="2"/>
      <c r="S906" s="2"/>
      <c r="T906" s="2"/>
      <c r="U906" s="2"/>
      <c r="V906" s="2"/>
      <c r="W906" s="2"/>
      <c r="X906" s="2"/>
      <c r="Y906" s="2"/>
      <c r="Z906" s="2"/>
    </row>
    <row r="907">
      <c r="A907" s="2" t="str">
        <f>IFERROR(__xludf.DUMMYFUNCTION("""COMPUTED_VALUE"""),"Chunk of Salmon")</f>
        <v>Chunk of Salmon</v>
      </c>
      <c r="B907" s="2" t="str">
        <f>IFERROR(__xludf.DUMMYFUNCTION("""COMPUTED_VALUE"""),"Restores 10 Hunger +5 energy")</f>
        <v>Restores 10 Hunger +5 energy</v>
      </c>
      <c r="C907" s="2" t="str">
        <f>IFERROR(__xludf.DUMMYFUNCTION("""COMPUTED_VALUE"""),"Crop")</f>
        <v>Crop</v>
      </c>
      <c r="D907" s="2"/>
      <c r="E907" s="2"/>
      <c r="F907" s="2"/>
      <c r="G907" s="2"/>
      <c r="H907" s="2"/>
      <c r="I907" s="2"/>
      <c r="J907" s="2"/>
      <c r="K907" s="2"/>
      <c r="L907" s="2"/>
      <c r="M907" s="2"/>
      <c r="N907" s="2"/>
      <c r="O907" s="2"/>
      <c r="P907" s="2"/>
      <c r="Q907" s="2"/>
      <c r="R907" s="2"/>
      <c r="S907" s="2"/>
      <c r="T907" s="2"/>
      <c r="U907" s="2"/>
      <c r="V907" s="2"/>
      <c r="W907" s="2"/>
      <c r="X907" s="2"/>
      <c r="Y907" s="2"/>
      <c r="Z907" s="2"/>
    </row>
    <row r="908">
      <c r="A908" s="2" t="str">
        <f>IFERROR(__xludf.DUMMYFUNCTION("""COMPUTED_VALUE"""),"Dragon Jerky")</f>
        <v>Dragon Jerky</v>
      </c>
      <c r="B908" s="2" t="str">
        <f>IFERROR(__xludf.DUMMYFUNCTION("""COMPUTED_VALUE"""),"Restores 100 Hunger + 100 energy")</f>
        <v>Restores 100 Hunger + 100 energy</v>
      </c>
      <c r="C908" s="2" t="str">
        <f>IFERROR(__xludf.DUMMYFUNCTION("""COMPUTED_VALUE"""),"Crop")</f>
        <v>Crop</v>
      </c>
      <c r="D908" s="2"/>
      <c r="E908" s="2"/>
      <c r="F908" s="2"/>
      <c r="G908" s="2"/>
      <c r="H908" s="2"/>
      <c r="I908" s="2"/>
      <c r="J908" s="2"/>
      <c r="K908" s="2"/>
      <c r="L908" s="2"/>
      <c r="M908" s="2"/>
      <c r="N908" s="2"/>
      <c r="O908" s="2"/>
      <c r="P908" s="2"/>
      <c r="Q908" s="2"/>
      <c r="R908" s="2"/>
      <c r="S908" s="2"/>
      <c r="T908" s="2"/>
      <c r="U908" s="2"/>
      <c r="V908" s="2"/>
      <c r="W908" s="2"/>
      <c r="X908" s="2"/>
      <c r="Y908" s="2"/>
      <c r="Z908" s="2"/>
    </row>
    <row r="909">
      <c r="A909" s="2" t="str">
        <f>IFERROR(__xludf.DUMMYFUNCTION("""COMPUTED_VALUE"""),"Bacon Strip")</f>
        <v>Bacon Strip</v>
      </c>
      <c r="B909" s="2" t="str">
        <f>IFERROR(__xludf.DUMMYFUNCTION("""COMPUTED_VALUE"""),"Restores 5 Hunger +4 energy")</f>
        <v>Restores 5 Hunger +4 energy</v>
      </c>
      <c r="C909" s="2" t="str">
        <f>IFERROR(__xludf.DUMMYFUNCTION("""COMPUTED_VALUE"""),"Crop")</f>
        <v>Crop</v>
      </c>
      <c r="D909" s="2"/>
      <c r="E909" s="2"/>
      <c r="F909" s="2"/>
      <c r="G909" s="2"/>
      <c r="H909" s="2"/>
      <c r="I909" s="2"/>
      <c r="J909" s="2"/>
      <c r="K909" s="2"/>
      <c r="L909" s="2"/>
      <c r="M909" s="2"/>
      <c r="N909" s="2"/>
      <c r="O909" s="2"/>
      <c r="P909" s="2"/>
      <c r="Q909" s="2"/>
      <c r="R909" s="2"/>
      <c r="S909" s="2"/>
      <c r="T909" s="2"/>
      <c r="U909" s="2"/>
      <c r="V909" s="2"/>
      <c r="W909" s="2"/>
      <c r="X909" s="2"/>
      <c r="Y909" s="2"/>
      <c r="Z909" s="2"/>
    </row>
    <row r="910">
      <c r="A910" s="2" t="str">
        <f>IFERROR(__xludf.DUMMYFUNCTION("""COMPUTED_VALUE"""),"Smoked Salmon")</f>
        <v>Smoked Salmon</v>
      </c>
      <c r="B910" s="2" t="str">
        <f>IFERROR(__xludf.DUMMYFUNCTION("""COMPUTED_VALUE"""),"Restores 20 Hunger +10 energy")</f>
        <v>Restores 20 Hunger +10 energy</v>
      </c>
      <c r="C910" s="2" t="str">
        <f>IFERROR(__xludf.DUMMYFUNCTION("""COMPUTED_VALUE"""),"Crop")</f>
        <v>Crop</v>
      </c>
      <c r="D910" s="2"/>
      <c r="E910" s="2"/>
      <c r="F910" s="2"/>
      <c r="G910" s="2"/>
      <c r="H910" s="2"/>
      <c r="I910" s="2"/>
      <c r="J910" s="2"/>
      <c r="K910" s="2"/>
      <c r="L910" s="2"/>
      <c r="M910" s="2"/>
      <c r="N910" s="2"/>
      <c r="O910" s="2"/>
      <c r="P910" s="2"/>
      <c r="Q910" s="2"/>
      <c r="R910" s="2"/>
      <c r="S910" s="2"/>
      <c r="T910" s="2"/>
      <c r="U910" s="2"/>
      <c r="V910" s="2"/>
      <c r="W910" s="2"/>
      <c r="X910" s="2"/>
      <c r="Y910" s="2"/>
      <c r="Z910" s="2"/>
    </row>
    <row r="911">
      <c r="A911" s="2" t="str">
        <f>IFERROR(__xludf.DUMMYFUNCTION("""COMPUTED_VALUE"""),"Smoked Lamb")</f>
        <v>Smoked Lamb</v>
      </c>
      <c r="B911" s="2" t="str">
        <f>IFERROR(__xludf.DUMMYFUNCTION("""COMPUTED_VALUE"""),"Restores 25 Hunger")</f>
        <v>Restores 25 Hunger</v>
      </c>
      <c r="C911" s="2" t="str">
        <f>IFERROR(__xludf.DUMMYFUNCTION("""COMPUTED_VALUE"""),"Crop")</f>
        <v>Crop</v>
      </c>
      <c r="D911" s="2"/>
      <c r="E911" s="2"/>
      <c r="F911" s="2"/>
      <c r="G911" s="2"/>
      <c r="H911" s="2"/>
      <c r="I911" s="2"/>
      <c r="J911" s="2"/>
      <c r="K911" s="2"/>
      <c r="L911" s="2"/>
      <c r="M911" s="2"/>
      <c r="N911" s="2"/>
      <c r="O911" s="2"/>
      <c r="P911" s="2"/>
      <c r="Q911" s="2"/>
      <c r="R911" s="2"/>
      <c r="S911" s="2"/>
      <c r="T911" s="2"/>
      <c r="U911" s="2"/>
      <c r="V911" s="2"/>
      <c r="W911" s="2"/>
      <c r="X911" s="2"/>
      <c r="Y911" s="2"/>
      <c r="Z911" s="2"/>
    </row>
    <row r="912">
      <c r="A912" s="2" t="str">
        <f>IFERROR(__xludf.DUMMYFUNCTION("""COMPUTED_VALUE"""),"Volcanic Venison")</f>
        <v>Volcanic Venison</v>
      </c>
      <c r="B912" s="2" t="str">
        <f>IFERROR(__xludf.DUMMYFUNCTION("""COMPUTED_VALUE"""),"Restores 50 Hunger")</f>
        <v>Restores 50 Hunger</v>
      </c>
      <c r="C912" s="2" t="str">
        <f>IFERROR(__xludf.DUMMYFUNCTION("""COMPUTED_VALUE"""),"Crop")</f>
        <v>Crop</v>
      </c>
      <c r="D912" s="2"/>
      <c r="E912" s="2"/>
      <c r="F912" s="2"/>
      <c r="G912" s="2"/>
      <c r="H912" s="2"/>
      <c r="I912" s="2"/>
      <c r="J912" s="2"/>
      <c r="K912" s="2"/>
      <c r="L912" s="2"/>
      <c r="M912" s="2"/>
      <c r="N912" s="2"/>
      <c r="O912" s="2"/>
      <c r="P912" s="2"/>
      <c r="Q912" s="2"/>
      <c r="R912" s="2"/>
      <c r="S912" s="2"/>
      <c r="T912" s="2"/>
      <c r="U912" s="2"/>
      <c r="V912" s="2"/>
      <c r="W912" s="2"/>
      <c r="X912" s="2"/>
      <c r="Y912" s="2"/>
      <c r="Z912" s="2"/>
    </row>
    <row r="913">
      <c r="A913" s="2" t="str">
        <f>IFERROR(__xludf.DUMMYFUNCTION("""COMPUTED_VALUE"""),"Pulled Pork")</f>
        <v>Pulled Pork</v>
      </c>
      <c r="B913" s="2" t="str">
        <f>IFERROR(__xludf.DUMMYFUNCTION("""COMPUTED_VALUE"""),"Restores 40 Hunger")</f>
        <v>Restores 40 Hunger</v>
      </c>
      <c r="C913" s="2" t="str">
        <f>IFERROR(__xludf.DUMMYFUNCTION("""COMPUTED_VALUE"""),"Crop")</f>
        <v>Crop</v>
      </c>
      <c r="D913" s="2"/>
      <c r="E913" s="2"/>
      <c r="F913" s="2"/>
      <c r="G913" s="2"/>
      <c r="H913" s="2"/>
      <c r="I913" s="2"/>
      <c r="J913" s="2"/>
      <c r="K913" s="2"/>
      <c r="L913" s="2"/>
      <c r="M913" s="2"/>
      <c r="N913" s="2"/>
      <c r="O913" s="2"/>
      <c r="P913" s="2"/>
      <c r="Q913" s="2"/>
      <c r="R913" s="2"/>
      <c r="S913" s="2"/>
      <c r="T913" s="2"/>
      <c r="U913" s="2"/>
      <c r="V913" s="2"/>
      <c r="W913" s="2"/>
      <c r="X913" s="2"/>
      <c r="Y913" s="2"/>
      <c r="Z913" s="2"/>
    </row>
    <row r="914">
      <c r="A914" s="2" t="str">
        <f>IFERROR(__xludf.DUMMYFUNCTION("""COMPUTED_VALUE"""),"Honeyed Nordic Mead")</f>
        <v>Honeyed Nordic Mead</v>
      </c>
      <c r="B914" s="2" t="str">
        <f>IFERROR(__xludf.DUMMYFUNCTION("""COMPUTED_VALUE"""),"Restores 100 Thirst +100 energy")</f>
        <v>Restores 100 Thirst +100 energy</v>
      </c>
      <c r="C914" s="2" t="str">
        <f>IFERROR(__xludf.DUMMYFUNCTION("""COMPUTED_VALUE"""),"Item")</f>
        <v>Item</v>
      </c>
      <c r="D914" s="2"/>
      <c r="E914" s="2"/>
      <c r="F914" s="2"/>
      <c r="G914" s="2"/>
      <c r="H914" s="2"/>
      <c r="I914" s="2"/>
      <c r="J914" s="2"/>
      <c r="K914" s="2"/>
      <c r="L914" s="2"/>
      <c r="M914" s="2"/>
      <c r="N914" s="2"/>
      <c r="O914" s="2"/>
      <c r="P914" s="2"/>
      <c r="Q914" s="2"/>
      <c r="R914" s="2"/>
      <c r="S914" s="2"/>
      <c r="T914" s="2"/>
      <c r="U914" s="2"/>
      <c r="V914" s="2"/>
      <c r="W914" s="2"/>
      <c r="X914" s="2"/>
      <c r="Y914" s="2"/>
      <c r="Z914" s="2"/>
    </row>
    <row r="915">
      <c r="A915" s="2" t="str">
        <f>IFERROR(__xludf.DUMMYFUNCTION("""COMPUTED_VALUE"""),"Wine")</f>
        <v>Wine</v>
      </c>
      <c r="B915" s="2" t="str">
        <f>IFERROR(__xludf.DUMMYFUNCTION("""COMPUTED_VALUE"""),"Restores 25 Thirst +15 energy")</f>
        <v>Restores 25 Thirst +15 energy</v>
      </c>
      <c r="C915" s="2" t="str">
        <f>IFERROR(__xludf.DUMMYFUNCTION("""COMPUTED_VALUE"""),"Item")</f>
        <v>Item</v>
      </c>
      <c r="D915" s="2"/>
      <c r="E915" s="2"/>
      <c r="F915" s="2"/>
      <c r="G915" s="2"/>
      <c r="H915" s="2"/>
      <c r="I915" s="2"/>
      <c r="J915" s="2"/>
      <c r="K915" s="2"/>
      <c r="L915" s="2"/>
      <c r="M915" s="2"/>
      <c r="N915" s="2"/>
      <c r="O915" s="2"/>
      <c r="P915" s="2"/>
      <c r="Q915" s="2"/>
      <c r="R915" s="2"/>
      <c r="S915" s="2"/>
      <c r="T915" s="2"/>
      <c r="U915" s="2"/>
      <c r="V915" s="2"/>
      <c r="W915" s="2"/>
      <c r="X915" s="2"/>
      <c r="Y915" s="2"/>
      <c r="Z915" s="2"/>
    </row>
    <row r="916">
      <c r="A916" s="2" t="str">
        <f>IFERROR(__xludf.DUMMYFUNCTION("""COMPUTED_VALUE"""),"Melomel (Mead w/ fruit added)")</f>
        <v>Melomel (Mead w/ fruit added)</v>
      </c>
      <c r="B916" s="2" t="str">
        <f>IFERROR(__xludf.DUMMYFUNCTION("""COMPUTED_VALUE"""),"Restores 50 Thirst and hunger +25 energy")</f>
        <v>Restores 50 Thirst and hunger +25 energy</v>
      </c>
      <c r="C916" s="2" t="str">
        <f>IFERROR(__xludf.DUMMYFUNCTION("""COMPUTED_VALUE"""),"Crop")</f>
        <v>Crop</v>
      </c>
      <c r="D916" s="2"/>
      <c r="E916" s="2"/>
      <c r="F916" s="2"/>
      <c r="G916" s="2"/>
      <c r="H916" s="2"/>
      <c r="I916" s="2"/>
      <c r="J916" s="2"/>
      <c r="K916" s="2"/>
      <c r="L916" s="2"/>
      <c r="M916" s="2"/>
      <c r="N916" s="2"/>
      <c r="O916" s="2"/>
      <c r="P916" s="2"/>
      <c r="Q916" s="2"/>
      <c r="R916" s="2"/>
      <c r="S916" s="2"/>
      <c r="T916" s="2"/>
      <c r="U916" s="2"/>
      <c r="V916" s="2"/>
      <c r="W916" s="2"/>
      <c r="X916" s="2"/>
      <c r="Y916" s="2"/>
      <c r="Z916" s="2"/>
    </row>
    <row r="917">
      <c r="A917" s="2" t="str">
        <f>IFERROR(__xludf.DUMMYFUNCTION("""COMPUTED_VALUE"""),"Docile Desert Djinn Gin")</f>
        <v>Docile Desert Djinn Gin</v>
      </c>
      <c r="B917" s="2" t="str">
        <f>IFERROR(__xludf.DUMMYFUNCTION("""COMPUTED_VALUE"""),"Restore 200 thirst +150 energy, has a 50% to decrease your attack and accuracy by half for 3 game days (disorientated status effect) 
If you drink too much you will be known as a bumbling joker, stumbling stooge, jumbling jester, and or plastered plank (N"&amp;"PCs will start to call you this in-game as it will be listed on your character sheet as an ANTI-achievement)")</f>
        <v>Restore 200 thirst +150 energy, has a 50% to decrease your attack and accuracy by half for 3 game days (disorientated status effect) 
If you drink too much you will be known as a bumbling joker, stumbling stooge, jumbling jester, and or plastered plank (NPCs will start to call you this in-game as it will be listed on your character sheet as an ANTI-achievement)</v>
      </c>
      <c r="C917" s="2" t="str">
        <f>IFERROR(__xludf.DUMMYFUNCTION("""COMPUTED_VALUE"""),"Item")</f>
        <v>Item</v>
      </c>
      <c r="D917" s="2"/>
      <c r="E917" s="2"/>
      <c r="F917" s="2"/>
      <c r="G917" s="2"/>
      <c r="H917" s="2"/>
      <c r="I917" s="2"/>
      <c r="J917" s="2"/>
      <c r="K917" s="2"/>
      <c r="L917" s="2"/>
      <c r="M917" s="2"/>
      <c r="N917" s="2"/>
      <c r="O917" s="2"/>
      <c r="P917" s="2"/>
      <c r="Q917" s="2"/>
      <c r="R917" s="2"/>
      <c r="S917" s="2"/>
      <c r="T917" s="2"/>
      <c r="U917" s="2"/>
      <c r="V917" s="2"/>
      <c r="W917" s="2"/>
      <c r="X917" s="2"/>
      <c r="Y917" s="2"/>
      <c r="Z917" s="2"/>
    </row>
    <row r="918">
      <c r="A918" s="2" t="str">
        <f>IFERROR(__xludf.DUMMYFUNCTION("""COMPUTED_VALUE"""),"Small Battery")</f>
        <v>Small Battery</v>
      </c>
      <c r="B918" s="2" t="str">
        <f>IFERROR(__xludf.DUMMYFUNCTION("""COMPUTED_VALUE"""),"Restores 100 energy.")</f>
        <v>Restores 100 energy.</v>
      </c>
      <c r="C918" s="2" t="str">
        <f>IFERROR(__xludf.DUMMYFUNCTION("""COMPUTED_VALUE"""),"Item")</f>
        <v>Item</v>
      </c>
      <c r="D918" s="2"/>
      <c r="E918" s="2"/>
      <c r="F918" s="2"/>
      <c r="G918" s="2"/>
      <c r="H918" s="2"/>
      <c r="I918" s="2"/>
      <c r="J918" s="2"/>
      <c r="K918" s="2"/>
      <c r="L918" s="2"/>
      <c r="M918" s="2"/>
      <c r="N918" s="2"/>
      <c r="O918" s="2"/>
      <c r="P918" s="2"/>
      <c r="Q918" s="2"/>
      <c r="R918" s="2"/>
      <c r="S918" s="2"/>
      <c r="T918" s="2"/>
      <c r="U918" s="2"/>
      <c r="V918" s="2"/>
      <c r="W918" s="2"/>
      <c r="X918" s="2"/>
      <c r="Y918" s="2"/>
      <c r="Z918" s="2"/>
    </row>
    <row r="919">
      <c r="A919" s="2" t="str">
        <f>IFERROR(__xludf.DUMMYFUNCTION("""COMPUTED_VALUE"""),"Medium Battery")</f>
        <v>Medium Battery</v>
      </c>
      <c r="B919" s="2" t="str">
        <f>IFERROR(__xludf.DUMMYFUNCTION("""COMPUTED_VALUE"""),"Restores 250 energy.")</f>
        <v>Restores 250 energy.</v>
      </c>
      <c r="C919" s="2" t="str">
        <f>IFERROR(__xludf.DUMMYFUNCTION("""COMPUTED_VALUE"""),"Item")</f>
        <v>Item</v>
      </c>
      <c r="D919" s="2"/>
      <c r="E919" s="2"/>
      <c r="F919" s="2"/>
      <c r="G919" s="2"/>
      <c r="H919" s="2"/>
      <c r="I919" s="2"/>
      <c r="J919" s="2"/>
      <c r="K919" s="2"/>
      <c r="L919" s="2"/>
      <c r="M919" s="2"/>
      <c r="N919" s="2"/>
      <c r="O919" s="2"/>
      <c r="P919" s="2"/>
      <c r="Q919" s="2"/>
      <c r="R919" s="2"/>
      <c r="S919" s="2"/>
      <c r="T919" s="2"/>
      <c r="U919" s="2"/>
      <c r="V919" s="2"/>
      <c r="W919" s="2"/>
      <c r="X919" s="2"/>
      <c r="Y919" s="2"/>
      <c r="Z919" s="2"/>
    </row>
    <row r="920">
      <c r="A920" s="2" t="str">
        <f>IFERROR(__xludf.DUMMYFUNCTION("""COMPUTED_VALUE"""),"Large Battery")</f>
        <v>Large Battery</v>
      </c>
      <c r="B920" s="2" t="str">
        <f>IFERROR(__xludf.DUMMYFUNCTION("""COMPUTED_VALUE"""),"Restores 500 energy.")</f>
        <v>Restores 500 energy.</v>
      </c>
      <c r="C920" s="2" t="str">
        <f>IFERROR(__xludf.DUMMYFUNCTION("""COMPUTED_VALUE"""),"Item")</f>
        <v>Item</v>
      </c>
      <c r="D920" s="2"/>
      <c r="E920" s="2"/>
      <c r="F920" s="2"/>
      <c r="G920" s="2"/>
      <c r="H920" s="2"/>
      <c r="I920" s="2"/>
      <c r="J920" s="2"/>
      <c r="K920" s="2"/>
      <c r="L920" s="2"/>
      <c r="M920" s="2"/>
      <c r="N920" s="2"/>
      <c r="O920" s="2"/>
      <c r="P920" s="2"/>
      <c r="Q920" s="2"/>
      <c r="R920" s="2"/>
      <c r="S920" s="2"/>
      <c r="T920" s="2"/>
      <c r="U920" s="2"/>
      <c r="V920" s="2"/>
      <c r="W920" s="2"/>
      <c r="X920" s="2"/>
      <c r="Y920" s="2"/>
      <c r="Z920" s="2"/>
    </row>
    <row r="921">
      <c r="A921" s="2" t="str">
        <f>IFERROR(__xludf.DUMMYFUNCTION("""COMPUTED_VALUE"""),"Wind Queen's Soul")</f>
        <v>Wind Queen's Soul</v>
      </c>
      <c r="B921" s="2" t="str">
        <f>IFERROR(__xludf.DUMMYFUNCTION("""COMPUTED_VALUE"""),"(Quest Item) It pulses with a dark energy")</f>
        <v>(Quest Item) It pulses with a dark energy</v>
      </c>
      <c r="C921" s="2" t="str">
        <f>IFERROR(__xludf.DUMMYFUNCTION("""COMPUTED_VALUE"""),"Item")</f>
        <v>Item</v>
      </c>
      <c r="D921" s="2"/>
      <c r="E921" s="2"/>
      <c r="F921" s="2"/>
      <c r="G921" s="2"/>
      <c r="H921" s="2"/>
      <c r="I921" s="2"/>
      <c r="J921" s="2"/>
      <c r="K921" s="2"/>
      <c r="L921" s="2"/>
      <c r="M921" s="2"/>
      <c r="N921" s="2"/>
      <c r="O921" s="2"/>
      <c r="P921" s="2"/>
      <c r="Q921" s="2"/>
      <c r="R921" s="2"/>
      <c r="S921" s="2"/>
      <c r="T921" s="2"/>
      <c r="U921" s="2"/>
      <c r="V921" s="2"/>
      <c r="W921" s="2"/>
      <c r="X921" s="2"/>
      <c r="Y921" s="2"/>
      <c r="Z921" s="2"/>
    </row>
    <row r="922">
      <c r="A922" s="2" t="str">
        <f>IFERROR(__xludf.DUMMYFUNCTION("""COMPUTED_VALUE"""),"Wave Queen's Soul")</f>
        <v>Wave Queen's Soul</v>
      </c>
      <c r="B922" s="2" t="str">
        <f>IFERROR(__xludf.DUMMYFUNCTION("""COMPUTED_VALUE"""),"(Quest Item) It pulses with a dark energy")</f>
        <v>(Quest Item) It pulses with a dark energy</v>
      </c>
      <c r="C922" s="2" t="str">
        <f>IFERROR(__xludf.DUMMYFUNCTION("""COMPUTED_VALUE"""),"Item")</f>
        <v>Item</v>
      </c>
      <c r="D922" s="2"/>
      <c r="E922" s="2"/>
      <c r="F922" s="2"/>
      <c r="G922" s="2"/>
      <c r="H922" s="2"/>
      <c r="I922" s="2"/>
      <c r="J922" s="2"/>
      <c r="K922" s="2"/>
      <c r="L922" s="2"/>
      <c r="M922" s="2"/>
      <c r="N922" s="2"/>
      <c r="O922" s="2"/>
      <c r="P922" s="2"/>
      <c r="Q922" s="2"/>
      <c r="R922" s="2"/>
      <c r="S922" s="2"/>
      <c r="T922" s="2"/>
      <c r="U922" s="2"/>
      <c r="V922" s="2"/>
      <c r="W922" s="2"/>
      <c r="X922" s="2"/>
      <c r="Y922" s="2"/>
      <c r="Z922" s="2"/>
    </row>
    <row r="923">
      <c r="A923" s="2" t="str">
        <f>IFERROR(__xludf.DUMMYFUNCTION("""COMPUTED_VALUE"""),"Storm King's Soul")</f>
        <v>Storm King's Soul</v>
      </c>
      <c r="B923" s="2" t="str">
        <f>IFERROR(__xludf.DUMMYFUNCTION("""COMPUTED_VALUE"""),"(Quest Item) It pulses with a dark energy")</f>
        <v>(Quest Item) It pulses with a dark energy</v>
      </c>
      <c r="C923" s="2" t="str">
        <f>IFERROR(__xludf.DUMMYFUNCTION("""COMPUTED_VALUE"""),"Item")</f>
        <v>Item</v>
      </c>
      <c r="D923" s="2"/>
      <c r="E923" s="2"/>
      <c r="F923" s="2"/>
      <c r="G923" s="2"/>
      <c r="H923" s="2"/>
      <c r="I923" s="2"/>
      <c r="J923" s="2"/>
      <c r="K923" s="2"/>
      <c r="L923" s="2"/>
      <c r="M923" s="2"/>
      <c r="N923" s="2"/>
      <c r="O923" s="2"/>
      <c r="P923" s="2"/>
      <c r="Q923" s="2"/>
      <c r="R923" s="2"/>
      <c r="S923" s="2"/>
      <c r="T923" s="2"/>
      <c r="U923" s="2"/>
      <c r="V923" s="2"/>
      <c r="W923" s="2"/>
      <c r="X923" s="2"/>
      <c r="Y923" s="2"/>
      <c r="Z923" s="2"/>
    </row>
    <row r="924">
      <c r="A924" s="2" t="str">
        <f>IFERROR(__xludf.DUMMYFUNCTION("""COMPUTED_VALUE"""),"Stone King's Soul")</f>
        <v>Stone King's Soul</v>
      </c>
      <c r="B924" s="2" t="str">
        <f>IFERROR(__xludf.DUMMYFUNCTION("""COMPUTED_VALUE"""),"(Quest Item) It pulses with a dark energy")</f>
        <v>(Quest Item) It pulses with a dark energy</v>
      </c>
      <c r="C924" s="2" t="str">
        <f>IFERROR(__xludf.DUMMYFUNCTION("""COMPUTED_VALUE"""),"Item")</f>
        <v>Item</v>
      </c>
      <c r="D924" s="2"/>
      <c r="E924" s="2"/>
      <c r="F924" s="2"/>
      <c r="G924" s="2"/>
      <c r="H924" s="2"/>
      <c r="I924" s="2"/>
      <c r="J924" s="2"/>
      <c r="K924" s="2"/>
      <c r="L924" s="2"/>
      <c r="M924" s="2"/>
      <c r="N924" s="2"/>
      <c r="O924" s="2"/>
      <c r="P924" s="2"/>
      <c r="Q924" s="2"/>
      <c r="R924" s="2"/>
      <c r="S924" s="2"/>
      <c r="T924" s="2"/>
      <c r="U924" s="2"/>
      <c r="V924" s="2"/>
      <c r="W924" s="2"/>
      <c r="X924" s="2"/>
      <c r="Y924" s="2"/>
      <c r="Z924" s="2"/>
    </row>
    <row r="925">
      <c r="A925" s="2" t="str">
        <f>IFERROR(__xludf.DUMMYFUNCTION("""COMPUTED_VALUE"""),"Inferno King Soul")</f>
        <v>Inferno King Soul</v>
      </c>
      <c r="B925" s="2" t="str">
        <f>IFERROR(__xludf.DUMMYFUNCTION("""COMPUTED_VALUE"""),"(Quest Item) It pulses with a dark energy")</f>
        <v>(Quest Item) It pulses with a dark energy</v>
      </c>
      <c r="C925" s="2" t="str">
        <f>IFERROR(__xludf.DUMMYFUNCTION("""COMPUTED_VALUE"""),"Item")</f>
        <v>Item</v>
      </c>
      <c r="D925" s="2"/>
      <c r="E925" s="2"/>
      <c r="F925" s="2"/>
      <c r="G925" s="2"/>
      <c r="H925" s="2"/>
      <c r="I925" s="2"/>
      <c r="J925" s="2"/>
      <c r="K925" s="2"/>
      <c r="L925" s="2"/>
      <c r="M925" s="2"/>
      <c r="N925" s="2"/>
      <c r="O925" s="2"/>
      <c r="P925" s="2"/>
      <c r="Q925" s="2"/>
      <c r="R925" s="2"/>
      <c r="S925" s="2"/>
      <c r="T925" s="2"/>
      <c r="U925" s="2"/>
      <c r="V925" s="2"/>
      <c r="W925" s="2"/>
      <c r="X925" s="2"/>
      <c r="Y925" s="2"/>
      <c r="Z925" s="2"/>
    </row>
    <row r="926">
      <c r="A926" s="2" t="str">
        <f>IFERROR(__xludf.DUMMYFUNCTION("""COMPUTED_VALUE"""),"Docile Desert Djinn’s Gin")</f>
        <v>Docile Desert Djinn’s Gin</v>
      </c>
      <c r="B926" s="2"/>
      <c r="C926" s="2" t="str">
        <f>IFERROR(__xludf.DUMMYFUNCTION("""COMPUTED_VALUE"""),"Item")</f>
        <v>Item</v>
      </c>
      <c r="D926" s="2"/>
      <c r="E926" s="2"/>
      <c r="F926" s="2"/>
      <c r="G926" s="2"/>
      <c r="H926" s="2"/>
      <c r="I926" s="2"/>
      <c r="J926" s="2"/>
      <c r="K926" s="2"/>
      <c r="L926" s="2"/>
      <c r="M926" s="2"/>
      <c r="N926" s="2"/>
      <c r="O926" s="2"/>
      <c r="P926" s="2"/>
      <c r="Q926" s="2"/>
      <c r="R926" s="2"/>
      <c r="S926" s="2"/>
      <c r="T926" s="2"/>
      <c r="U926" s="2"/>
      <c r="V926" s="2"/>
      <c r="W926" s="2"/>
      <c r="X926" s="2"/>
      <c r="Y926" s="2"/>
      <c r="Z926" s="2"/>
    </row>
    <row r="927">
      <c r="A927" s="2" t="str">
        <f>IFERROR(__xludf.DUMMYFUNCTION("""COMPUTED_VALUE"""),"Minor Health Potion")</f>
        <v>Minor Health Potion</v>
      </c>
      <c r="B927" s="2" t="str">
        <f>IFERROR(__xludf.DUMMYFUNCTION("""COMPUTED_VALUE"""),"Restores 20HP")</f>
        <v>Restores 20HP</v>
      </c>
      <c r="C927" s="2" t="str">
        <f>IFERROR(__xludf.DUMMYFUNCTION("""COMPUTED_VALUE"""),"Item")</f>
        <v>Item</v>
      </c>
      <c r="D927" s="2"/>
      <c r="E927" s="2"/>
      <c r="F927" s="2"/>
      <c r="G927" s="2"/>
      <c r="H927" s="2"/>
      <c r="I927" s="2"/>
      <c r="J927" s="2"/>
      <c r="K927" s="2"/>
      <c r="L927" s="2"/>
      <c r="M927" s="2"/>
      <c r="N927" s="2"/>
      <c r="O927" s="2"/>
      <c r="P927" s="2"/>
      <c r="Q927" s="2"/>
      <c r="R927" s="2"/>
      <c r="S927" s="2"/>
      <c r="T927" s="2"/>
      <c r="U927" s="2"/>
      <c r="V927" s="2"/>
      <c r="W927" s="2"/>
      <c r="X927" s="2"/>
      <c r="Y927" s="2"/>
      <c r="Z927" s="2"/>
    </row>
    <row r="928">
      <c r="A928" s="2" t="str">
        <f>IFERROR(__xludf.DUMMYFUNCTION("""COMPUTED_VALUE"""),"Medium Health Potion")</f>
        <v>Medium Health Potion</v>
      </c>
      <c r="B928" s="2" t="str">
        <f>IFERROR(__xludf.DUMMYFUNCTION("""COMPUTED_VALUE"""),"Restores 50HP")</f>
        <v>Restores 50HP</v>
      </c>
      <c r="C928" s="2" t="str">
        <f>IFERROR(__xludf.DUMMYFUNCTION("""COMPUTED_VALUE"""),"Item")</f>
        <v>Item</v>
      </c>
      <c r="D928" s="2"/>
      <c r="E928" s="2"/>
      <c r="F928" s="2"/>
      <c r="G928" s="2"/>
      <c r="H928" s="2"/>
      <c r="I928" s="2"/>
      <c r="J928" s="2"/>
      <c r="K928" s="2"/>
      <c r="L928" s="2"/>
      <c r="M928" s="2"/>
      <c r="N928" s="2"/>
      <c r="O928" s="2"/>
      <c r="P928" s="2"/>
      <c r="Q928" s="2"/>
      <c r="R928" s="2"/>
      <c r="S928" s="2"/>
      <c r="T928" s="2"/>
      <c r="U928" s="2"/>
      <c r="V928" s="2"/>
      <c r="W928" s="2"/>
      <c r="X928" s="2"/>
      <c r="Y928" s="2"/>
      <c r="Z928" s="2"/>
    </row>
    <row r="929">
      <c r="A929" s="2" t="str">
        <f>IFERROR(__xludf.DUMMYFUNCTION("""COMPUTED_VALUE"""),"Max Health Potion")</f>
        <v>Max Health Potion</v>
      </c>
      <c r="B929" s="2" t="str">
        <f>IFERROR(__xludf.DUMMYFUNCTION("""COMPUTED_VALUE"""),"Restores 100HP")</f>
        <v>Restores 100HP</v>
      </c>
      <c r="C929" s="2" t="str">
        <f>IFERROR(__xludf.DUMMYFUNCTION("""COMPUTED_VALUE"""),"Item")</f>
        <v>Item</v>
      </c>
      <c r="D929" s="2"/>
      <c r="E929" s="2"/>
      <c r="F929" s="2"/>
      <c r="G929" s="2"/>
      <c r="H929" s="2"/>
      <c r="I929" s="2"/>
      <c r="J929" s="2"/>
      <c r="K929" s="2"/>
      <c r="L929" s="2"/>
      <c r="M929" s="2"/>
      <c r="N929" s="2"/>
      <c r="O929" s="2"/>
      <c r="P929" s="2"/>
      <c r="Q929" s="2"/>
      <c r="R929" s="2"/>
      <c r="S929" s="2"/>
      <c r="T929" s="2"/>
      <c r="U929" s="2"/>
      <c r="V929" s="2"/>
      <c r="W929" s="2"/>
      <c r="X929" s="2"/>
      <c r="Y929" s="2"/>
      <c r="Z929" s="2"/>
    </row>
    <row r="930">
      <c r="A930" s="2" t="str">
        <f>IFERROR(__xludf.DUMMYFUNCTION("""COMPUTED_VALUE"""),"Minor Mana Potion")</f>
        <v>Minor Mana Potion</v>
      </c>
      <c r="B930" s="2" t="str">
        <f>IFERROR(__xludf.DUMMYFUNCTION("""COMPUTED_VALUE"""),"Restores 20SP")</f>
        <v>Restores 20SP</v>
      </c>
      <c r="C930" s="2" t="str">
        <f>IFERROR(__xludf.DUMMYFUNCTION("""COMPUTED_VALUE"""),"Item")</f>
        <v>Item</v>
      </c>
      <c r="D930" s="2"/>
      <c r="E930" s="2"/>
      <c r="F930" s="2"/>
      <c r="G930" s="2"/>
      <c r="H930" s="2"/>
      <c r="I930" s="2"/>
      <c r="J930" s="2"/>
      <c r="K930" s="2"/>
      <c r="L930" s="2"/>
      <c r="M930" s="2"/>
      <c r="N930" s="2"/>
      <c r="O930" s="2"/>
      <c r="P930" s="2"/>
      <c r="Q930" s="2"/>
      <c r="R930" s="2"/>
      <c r="S930" s="2"/>
      <c r="T930" s="2"/>
      <c r="U930" s="2"/>
      <c r="V930" s="2"/>
      <c r="W930" s="2"/>
      <c r="X930" s="2"/>
      <c r="Y930" s="2"/>
      <c r="Z930" s="2"/>
    </row>
    <row r="931">
      <c r="A931" s="2" t="str">
        <f>IFERROR(__xludf.DUMMYFUNCTION("""COMPUTED_VALUE"""),"Medium Mana Potion")</f>
        <v>Medium Mana Potion</v>
      </c>
      <c r="B931" s="2" t="str">
        <f>IFERROR(__xludf.DUMMYFUNCTION("""COMPUTED_VALUE"""),"Restores 50SP")</f>
        <v>Restores 50SP</v>
      </c>
      <c r="C931" s="2" t="str">
        <f>IFERROR(__xludf.DUMMYFUNCTION("""COMPUTED_VALUE"""),"Item")</f>
        <v>Item</v>
      </c>
      <c r="D931" s="2"/>
      <c r="E931" s="2"/>
      <c r="F931" s="2"/>
      <c r="G931" s="2"/>
      <c r="H931" s="2"/>
      <c r="I931" s="2"/>
      <c r="J931" s="2"/>
      <c r="K931" s="2"/>
      <c r="L931" s="2"/>
      <c r="M931" s="2"/>
      <c r="N931" s="2"/>
      <c r="O931" s="2"/>
      <c r="P931" s="2"/>
      <c r="Q931" s="2"/>
      <c r="R931" s="2"/>
      <c r="S931" s="2"/>
      <c r="T931" s="2"/>
      <c r="U931" s="2"/>
      <c r="V931" s="2"/>
      <c r="W931" s="2"/>
      <c r="X931" s="2"/>
      <c r="Y931" s="2"/>
      <c r="Z931" s="2"/>
    </row>
    <row r="932">
      <c r="A932" s="2" t="str">
        <f>IFERROR(__xludf.DUMMYFUNCTION("""COMPUTED_VALUE"""),"Max Mana Potion")</f>
        <v>Max Mana Potion</v>
      </c>
      <c r="B932" s="2" t="str">
        <f>IFERROR(__xludf.DUMMYFUNCTION("""COMPUTED_VALUE"""),"Restores 100SP")</f>
        <v>Restores 100SP</v>
      </c>
      <c r="C932" s="2" t="str">
        <f>IFERROR(__xludf.DUMMYFUNCTION("""COMPUTED_VALUE"""),"Item")</f>
        <v>Item</v>
      </c>
      <c r="D932" s="2"/>
      <c r="E932" s="2"/>
      <c r="F932" s="2"/>
      <c r="G932" s="2"/>
      <c r="H932" s="2"/>
      <c r="I932" s="2"/>
      <c r="J932" s="2"/>
      <c r="K932" s="2"/>
      <c r="L932" s="2"/>
      <c r="M932" s="2"/>
      <c r="N932" s="2"/>
      <c r="O932" s="2"/>
      <c r="P932" s="2"/>
      <c r="Q932" s="2"/>
      <c r="R932" s="2"/>
      <c r="S932" s="2"/>
      <c r="T932" s="2"/>
      <c r="U932" s="2"/>
      <c r="V932" s="2"/>
      <c r="W932" s="2"/>
      <c r="X932" s="2"/>
      <c r="Y932" s="2"/>
      <c r="Z932" s="2"/>
    </row>
    <row r="933">
      <c r="A933" s="2" t="str">
        <f>IFERROR(__xludf.DUMMYFUNCTION("""COMPUTED_VALUE"""),"Potion of Multishot")</f>
        <v>Potion of Multishot</v>
      </c>
      <c r="B933" s="2" t="str">
        <f>IFERROR(__xludf.DUMMYFUNCTION("""COMPUTED_VALUE"""),"Allows multishot use without consuming mana")</f>
        <v>Allows multishot use without consuming mana</v>
      </c>
      <c r="C933" s="2" t="str">
        <f>IFERROR(__xludf.DUMMYFUNCTION("""COMPUTED_VALUE"""),"Item")</f>
        <v>Item</v>
      </c>
      <c r="D933" s="2"/>
      <c r="E933" s="2"/>
      <c r="F933" s="2"/>
      <c r="G933" s="2"/>
      <c r="H933" s="2"/>
      <c r="I933" s="2"/>
      <c r="J933" s="2"/>
      <c r="K933" s="2"/>
      <c r="L933" s="2"/>
      <c r="M933" s="2"/>
      <c r="N933" s="2"/>
      <c r="O933" s="2"/>
      <c r="P933" s="2"/>
      <c r="Q933" s="2"/>
      <c r="R933" s="2"/>
      <c r="S933" s="2"/>
      <c r="T933" s="2"/>
      <c r="U933" s="2"/>
      <c r="V933" s="2"/>
      <c r="W933" s="2"/>
      <c r="X933" s="2"/>
      <c r="Y933" s="2"/>
      <c r="Z933" s="2"/>
    </row>
    <row r="934">
      <c r="A934" s="2" t="str">
        <f>IFERROR(__xludf.DUMMYFUNCTION("""COMPUTED_VALUE"""),"Potion of Eel Nado")</f>
        <v>Potion of Eel Nado</v>
      </c>
      <c r="B934" s="2" t="str">
        <f>IFERROR(__xludf.DUMMYFUNCTION("""COMPUTED_VALUE"""),"Allows use of Eel Nado without consuming mana")</f>
        <v>Allows use of Eel Nado without consuming mana</v>
      </c>
      <c r="C934" s="2" t="str">
        <f>IFERROR(__xludf.DUMMYFUNCTION("""COMPUTED_VALUE"""),"Item")</f>
        <v>Item</v>
      </c>
      <c r="D934" s="2"/>
      <c r="E934" s="2"/>
      <c r="F934" s="2"/>
      <c r="G934" s="2"/>
      <c r="H934" s="2"/>
      <c r="I934" s="2"/>
      <c r="J934" s="2"/>
      <c r="K934" s="2"/>
      <c r="L934" s="2"/>
      <c r="M934" s="2"/>
      <c r="N934" s="2"/>
      <c r="O934" s="2"/>
      <c r="P934" s="2"/>
      <c r="Q934" s="2"/>
      <c r="R934" s="2"/>
      <c r="S934" s="2"/>
      <c r="T934" s="2"/>
      <c r="U934" s="2"/>
      <c r="V934" s="2"/>
      <c r="W934" s="2"/>
      <c r="X934" s="2"/>
      <c r="Y934" s="2"/>
      <c r="Z934" s="2"/>
    </row>
    <row r="935">
      <c r="A935" s="2" t="str">
        <f>IFERROR(__xludf.DUMMYFUNCTION("""COMPUTED_VALUE"""),"Potion of Minor Health")</f>
        <v>Potion of Minor Health</v>
      </c>
      <c r="B935" s="2" t="str">
        <f>IFERROR(__xludf.DUMMYFUNCTION("""COMPUTED_VALUE"""),"Restores 10 Health")</f>
        <v>Restores 10 Health</v>
      </c>
      <c r="C935" s="2" t="str">
        <f>IFERROR(__xludf.DUMMYFUNCTION("""COMPUTED_VALUE"""),"Item")</f>
        <v>Item</v>
      </c>
      <c r="D935" s="2"/>
      <c r="E935" s="2"/>
      <c r="F935" s="2"/>
      <c r="G935" s="2"/>
      <c r="H935" s="2"/>
      <c r="I935" s="2"/>
      <c r="J935" s="2"/>
      <c r="K935" s="2"/>
      <c r="L935" s="2"/>
      <c r="M935" s="2"/>
      <c r="N935" s="2"/>
      <c r="O935" s="2"/>
      <c r="P935" s="2"/>
      <c r="Q935" s="2"/>
      <c r="R935" s="2"/>
      <c r="S935" s="2"/>
      <c r="T935" s="2"/>
      <c r="U935" s="2"/>
      <c r="V935" s="2"/>
      <c r="W935" s="2"/>
      <c r="X935" s="2"/>
      <c r="Y935" s="2"/>
      <c r="Z935" s="2"/>
    </row>
    <row r="936">
      <c r="A936" s="2" t="str">
        <f>IFERROR(__xludf.DUMMYFUNCTION("""COMPUTED_VALUE"""),"Potion of Health")</f>
        <v>Potion of Health</v>
      </c>
      <c r="B936" s="2" t="str">
        <f>IFERROR(__xludf.DUMMYFUNCTION("""COMPUTED_VALUE"""),"Restores 50 Health")</f>
        <v>Restores 50 Health</v>
      </c>
      <c r="C936" s="2" t="str">
        <f>IFERROR(__xludf.DUMMYFUNCTION("""COMPUTED_VALUE"""),"Item")</f>
        <v>Item</v>
      </c>
      <c r="D936" s="2"/>
      <c r="E936" s="2"/>
      <c r="F936" s="2"/>
      <c r="G936" s="2"/>
      <c r="H936" s="2"/>
      <c r="I936" s="2"/>
      <c r="J936" s="2"/>
      <c r="K936" s="2"/>
      <c r="L936" s="2"/>
      <c r="M936" s="2"/>
      <c r="N936" s="2"/>
      <c r="O936" s="2"/>
      <c r="P936" s="2"/>
      <c r="Q936" s="2"/>
      <c r="R936" s="2"/>
      <c r="S936" s="2"/>
      <c r="T936" s="2"/>
      <c r="U936" s="2"/>
      <c r="V936" s="2"/>
      <c r="W936" s="2"/>
      <c r="X936" s="2"/>
      <c r="Y936" s="2"/>
      <c r="Z936" s="2"/>
    </row>
    <row r="937">
      <c r="A937" s="2" t="str">
        <f>IFERROR(__xludf.DUMMYFUNCTION("""COMPUTED_VALUE"""),"Potion of Major Health")</f>
        <v>Potion of Major Health</v>
      </c>
      <c r="B937" s="2" t="str">
        <f>IFERROR(__xludf.DUMMYFUNCTION("""COMPUTED_VALUE"""),"Restores 100 Health")</f>
        <v>Restores 100 Health</v>
      </c>
      <c r="C937" s="2" t="str">
        <f>IFERROR(__xludf.DUMMYFUNCTION("""COMPUTED_VALUE"""),"Item")</f>
        <v>Item</v>
      </c>
      <c r="D937" s="2"/>
      <c r="E937" s="2"/>
      <c r="F937" s="2"/>
      <c r="G937" s="2"/>
      <c r="H937" s="2"/>
      <c r="I937" s="2"/>
      <c r="J937" s="2"/>
      <c r="K937" s="2"/>
      <c r="L937" s="2"/>
      <c r="M937" s="2"/>
      <c r="N937" s="2"/>
      <c r="O937" s="2"/>
      <c r="P937" s="2"/>
      <c r="Q937" s="2"/>
      <c r="R937" s="2"/>
      <c r="S937" s="2"/>
      <c r="T937" s="2"/>
      <c r="U937" s="2"/>
      <c r="V937" s="2"/>
      <c r="W937" s="2"/>
      <c r="X937" s="2"/>
      <c r="Y937" s="2"/>
      <c r="Z937" s="2"/>
    </row>
    <row r="938">
      <c r="A938" s="2" t="str">
        <f>IFERROR(__xludf.DUMMYFUNCTION("""COMPUTED_VALUE"""),"Potion of Minor Mana")</f>
        <v>Potion of Minor Mana</v>
      </c>
      <c r="B938" s="2" t="str">
        <f>IFERROR(__xludf.DUMMYFUNCTION("""COMPUTED_VALUE"""),"Restores 10 SP")</f>
        <v>Restores 10 SP</v>
      </c>
      <c r="C938" s="2" t="str">
        <f>IFERROR(__xludf.DUMMYFUNCTION("""COMPUTED_VALUE"""),"Item")</f>
        <v>Item</v>
      </c>
      <c r="D938" s="2"/>
      <c r="E938" s="2"/>
      <c r="F938" s="2"/>
      <c r="G938" s="2"/>
      <c r="H938" s="2"/>
      <c r="I938" s="2"/>
      <c r="J938" s="2"/>
      <c r="K938" s="2"/>
      <c r="L938" s="2"/>
      <c r="M938" s="2"/>
      <c r="N938" s="2"/>
      <c r="O938" s="2"/>
      <c r="P938" s="2"/>
      <c r="Q938" s="2"/>
      <c r="R938" s="2"/>
      <c r="S938" s="2"/>
      <c r="T938" s="2"/>
      <c r="U938" s="2"/>
      <c r="V938" s="2"/>
      <c r="W938" s="2"/>
      <c r="X938" s="2"/>
      <c r="Y938" s="2"/>
      <c r="Z938" s="2"/>
    </row>
    <row r="939">
      <c r="A939" s="2" t="str">
        <f>IFERROR(__xludf.DUMMYFUNCTION("""COMPUTED_VALUE"""),"Potion of Mana")</f>
        <v>Potion of Mana</v>
      </c>
      <c r="B939" s="2" t="str">
        <f>IFERROR(__xludf.DUMMYFUNCTION("""COMPUTED_VALUE"""),"Restores 50 SP")</f>
        <v>Restores 50 SP</v>
      </c>
      <c r="C939" s="2" t="str">
        <f>IFERROR(__xludf.DUMMYFUNCTION("""COMPUTED_VALUE"""),"Item")</f>
        <v>Item</v>
      </c>
      <c r="D939" s="2"/>
      <c r="E939" s="2"/>
      <c r="F939" s="2"/>
      <c r="G939" s="2"/>
      <c r="H939" s="2"/>
      <c r="I939" s="2"/>
      <c r="J939" s="2"/>
      <c r="K939" s="2"/>
      <c r="L939" s="2"/>
      <c r="M939" s="2"/>
      <c r="N939" s="2"/>
      <c r="O939" s="2"/>
      <c r="P939" s="2"/>
      <c r="Q939" s="2"/>
      <c r="R939" s="2"/>
      <c r="S939" s="2"/>
      <c r="T939" s="2"/>
      <c r="U939" s="2"/>
      <c r="V939" s="2"/>
      <c r="W939" s="2"/>
      <c r="X939" s="2"/>
      <c r="Y939" s="2"/>
      <c r="Z939" s="2"/>
    </row>
    <row r="940">
      <c r="A940" s="2" t="str">
        <f>IFERROR(__xludf.DUMMYFUNCTION("""COMPUTED_VALUE"""),"Potion of Extreme Mana")</f>
        <v>Potion of Extreme Mana</v>
      </c>
      <c r="B940" s="2" t="str">
        <f>IFERROR(__xludf.DUMMYFUNCTION("""COMPUTED_VALUE"""),"Restores 100 SP")</f>
        <v>Restores 100 SP</v>
      </c>
      <c r="C940" s="2" t="str">
        <f>IFERROR(__xludf.DUMMYFUNCTION("""COMPUTED_VALUE"""),"Item")</f>
        <v>Item</v>
      </c>
      <c r="D940" s="2"/>
      <c r="E940" s="2"/>
      <c r="F940" s="2"/>
      <c r="G940" s="2"/>
      <c r="H940" s="2"/>
      <c r="I940" s="2"/>
      <c r="J940" s="2"/>
      <c r="K940" s="2"/>
      <c r="L940" s="2"/>
      <c r="M940" s="2"/>
      <c r="N940" s="2"/>
      <c r="O940" s="2"/>
      <c r="P940" s="2"/>
      <c r="Q940" s="2"/>
      <c r="R940" s="2"/>
      <c r="S940" s="2"/>
      <c r="T940" s="2"/>
      <c r="U940" s="2"/>
      <c r="V940" s="2"/>
      <c r="W940" s="2"/>
      <c r="X940" s="2"/>
      <c r="Y940" s="2"/>
      <c r="Z940" s="2"/>
    </row>
    <row r="941">
      <c r="A941" s="2" t="str">
        <f>IFERROR(__xludf.DUMMYFUNCTION("""COMPUTED_VALUE"""),"Potion of Invigoration")</f>
        <v>Potion of Invigoration</v>
      </c>
      <c r="B941" s="2" t="str">
        <f>IFERROR(__xludf.DUMMYFUNCTION("""COMPUTED_VALUE"""),"Restores 50 SP each turn for 3 rounds")</f>
        <v>Restores 50 SP each turn for 3 rounds</v>
      </c>
      <c r="C941" s="2" t="str">
        <f>IFERROR(__xludf.DUMMYFUNCTION("""COMPUTED_VALUE"""),"Item")</f>
        <v>Item</v>
      </c>
      <c r="D941" s="2"/>
      <c r="E941" s="2"/>
      <c r="F941" s="2"/>
      <c r="G941" s="2"/>
      <c r="H941" s="2"/>
      <c r="I941" s="2"/>
      <c r="J941" s="2"/>
      <c r="K941" s="2"/>
      <c r="L941" s="2"/>
      <c r="M941" s="2"/>
      <c r="N941" s="2"/>
      <c r="O941" s="2"/>
      <c r="P941" s="2"/>
      <c r="Q941" s="2"/>
      <c r="R941" s="2"/>
      <c r="S941" s="2"/>
      <c r="T941" s="2"/>
      <c r="U941" s="2"/>
      <c r="V941" s="2"/>
      <c r="W941" s="2"/>
      <c r="X941" s="2"/>
      <c r="Y941" s="2"/>
      <c r="Z941" s="2"/>
    </row>
    <row r="942">
      <c r="A942" s="2" t="str">
        <f>IFERROR(__xludf.DUMMYFUNCTION("""COMPUTED_VALUE"""),"Potion of Invulnerability")</f>
        <v>Potion of Invulnerability</v>
      </c>
      <c r="B942" s="2" t="str">
        <f>IFERROR(__xludf.DUMMYFUNCTION("""COMPUTED_VALUE"""),"Immune to damage for 3 rounds")</f>
        <v>Immune to damage for 3 rounds</v>
      </c>
      <c r="C942" s="2" t="str">
        <f>IFERROR(__xludf.DUMMYFUNCTION("""COMPUTED_VALUE"""),"Item")</f>
        <v>Item</v>
      </c>
      <c r="D942" s="2"/>
      <c r="E942" s="2"/>
      <c r="F942" s="2"/>
      <c r="G942" s="2"/>
      <c r="H942" s="2"/>
      <c r="I942" s="2"/>
      <c r="J942" s="2"/>
      <c r="K942" s="2"/>
      <c r="L942" s="2"/>
      <c r="M942" s="2"/>
      <c r="N942" s="2"/>
      <c r="O942" s="2"/>
      <c r="P942" s="2"/>
      <c r="Q942" s="2"/>
      <c r="R942" s="2"/>
      <c r="S942" s="2"/>
      <c r="T942" s="2"/>
      <c r="U942" s="2"/>
      <c r="V942" s="2"/>
      <c r="W942" s="2"/>
      <c r="X942" s="2"/>
      <c r="Y942" s="2"/>
      <c r="Z942" s="2"/>
    </row>
    <row r="943">
      <c r="A943" s="2" t="str">
        <f>IFERROR(__xludf.DUMMYFUNCTION("""COMPUTED_VALUE"""),"Potion of Stun Resist")</f>
        <v>Potion of Stun Resist</v>
      </c>
      <c r="B943" s="2" t="str">
        <f>IFERROR(__xludf.DUMMYFUNCTION("""COMPUTED_VALUE"""),"Immune to Stun for 3 rounds")</f>
        <v>Immune to Stun for 3 rounds</v>
      </c>
      <c r="C943" s="2" t="str">
        <f>IFERROR(__xludf.DUMMYFUNCTION("""COMPUTED_VALUE"""),"Item")</f>
        <v>Item</v>
      </c>
      <c r="D943" s="2"/>
      <c r="E943" s="2"/>
      <c r="F943" s="2"/>
      <c r="G943" s="2"/>
      <c r="H943" s="2"/>
      <c r="I943" s="2"/>
      <c r="J943" s="2"/>
      <c r="K943" s="2"/>
      <c r="L943" s="2"/>
      <c r="M943" s="2"/>
      <c r="N943" s="2"/>
      <c r="O943" s="2"/>
      <c r="P943" s="2"/>
      <c r="Q943" s="2"/>
      <c r="R943" s="2"/>
      <c r="S943" s="2"/>
      <c r="T943" s="2"/>
      <c r="U943" s="2"/>
      <c r="V943" s="2"/>
      <c r="W943" s="2"/>
      <c r="X943" s="2"/>
      <c r="Y943" s="2"/>
      <c r="Z943" s="2"/>
    </row>
    <row r="944">
      <c r="A944" s="2" t="str">
        <f>IFERROR(__xludf.DUMMYFUNCTION("""COMPUTED_VALUE"""),"Potion Of Sobriety")</f>
        <v>Potion Of Sobriety</v>
      </c>
      <c r="B944" s="2" t="str">
        <f>IFERROR(__xludf.DUMMYFUNCTION("""COMPUTED_VALUE"""),"Removes Disoriented Status, 50% failure, if you fail, you become even more disoriented (2x). If you fail/become too drunk, your character will black out and contract alcohol poisoning (25% of death, not-permanent)")</f>
        <v>Removes Disoriented Status, 50% failure, if you fail, you become even more disoriented (2x). If you fail/become too drunk, your character will black out and contract alcohol poisoning (25% of death, not-permanent)</v>
      </c>
      <c r="C944" s="2" t="str">
        <f>IFERROR(__xludf.DUMMYFUNCTION("""COMPUTED_VALUE"""),"Item")</f>
        <v>Item</v>
      </c>
      <c r="D944" s="2"/>
      <c r="E944" s="2"/>
      <c r="F944" s="2"/>
      <c r="G944" s="2"/>
      <c r="H944" s="2"/>
      <c r="I944" s="2"/>
      <c r="J944" s="2"/>
      <c r="K944" s="2"/>
      <c r="L944" s="2"/>
      <c r="M944" s="2"/>
      <c r="N944" s="2"/>
      <c r="O944" s="2"/>
      <c r="P944" s="2"/>
      <c r="Q944" s="2"/>
      <c r="R944" s="2"/>
      <c r="S944" s="2"/>
      <c r="T944" s="2"/>
      <c r="U944" s="2"/>
      <c r="V944" s="2"/>
      <c r="W944" s="2"/>
      <c r="X944" s="2"/>
      <c r="Y944" s="2"/>
      <c r="Z944" s="2"/>
    </row>
    <row r="945">
      <c r="A945" s="2" t="str">
        <f>IFERROR(__xludf.DUMMYFUNCTION("""COMPUTED_VALUE"""),"Legendary Tome")</f>
        <v>Legendary Tome</v>
      </c>
      <c r="B945" s="2" t="str">
        <f>IFERROR(__xludf.DUMMYFUNCTION("""COMPUTED_VALUE"""),"(Quest item)")</f>
        <v>(Quest item)</v>
      </c>
      <c r="C945" s="2" t="str">
        <f>IFERROR(__xludf.DUMMYFUNCTION("""COMPUTED_VALUE"""),"Item")</f>
        <v>Item</v>
      </c>
      <c r="D945" s="2"/>
      <c r="E945" s="2"/>
      <c r="F945" s="2"/>
      <c r="G945" s="2"/>
      <c r="H945" s="2"/>
      <c r="I945" s="2"/>
      <c r="J945" s="2"/>
      <c r="K945" s="2"/>
      <c r="L945" s="2"/>
      <c r="M945" s="2"/>
      <c r="N945" s="2"/>
      <c r="O945" s="2"/>
      <c r="P945" s="2"/>
      <c r="Q945" s="2"/>
      <c r="R945" s="2"/>
      <c r="S945" s="2"/>
      <c r="T945" s="2"/>
      <c r="U945" s="2"/>
      <c r="V945" s="2"/>
      <c r="W945" s="2"/>
      <c r="X945" s="2"/>
      <c r="Y945" s="2"/>
      <c r="Z945" s="2"/>
    </row>
    <row r="946">
      <c r="A946" s="2" t="str">
        <f>IFERROR(__xludf.DUMMYFUNCTION("""COMPUTED_VALUE"""),"Murky Emerald")</f>
        <v>Murky Emerald</v>
      </c>
      <c r="B946" s="2" t="str">
        <f>IFERROR(__xludf.DUMMYFUNCTION("""COMPUTED_VALUE"""),"Crafting Material, roll a d20 to see how many you get if this is a loot drop.")</f>
        <v>Crafting Material, roll a d20 to see how many you get if this is a loot drop.</v>
      </c>
      <c r="C946" s="2" t="str">
        <f>IFERROR(__xludf.DUMMYFUNCTION("""COMPUTED_VALUE"""),"Item")</f>
        <v>Item</v>
      </c>
      <c r="D946" s="2"/>
      <c r="E946" s="2"/>
      <c r="F946" s="2"/>
      <c r="G946" s="2"/>
      <c r="H946" s="2"/>
      <c r="I946" s="2"/>
      <c r="J946" s="2"/>
      <c r="K946" s="2"/>
      <c r="L946" s="2"/>
      <c r="M946" s="2"/>
      <c r="N946" s="2"/>
      <c r="O946" s="2"/>
      <c r="P946" s="2"/>
      <c r="Q946" s="2"/>
      <c r="R946" s="2"/>
      <c r="S946" s="2"/>
      <c r="T946" s="2"/>
      <c r="U946" s="2"/>
      <c r="V946" s="2"/>
      <c r="W946" s="2"/>
      <c r="X946" s="2"/>
      <c r="Y946" s="2"/>
      <c r="Z946" s="2"/>
    </row>
    <row r="947">
      <c r="A947" s="2" t="str">
        <f>IFERROR(__xludf.DUMMYFUNCTION("""COMPUTED_VALUE"""),"Foul Night Swamp water vile")</f>
        <v>Foul Night Swamp water vile</v>
      </c>
      <c r="B947" s="2" t="str">
        <f>IFERROR(__xludf.DUMMYFUNCTION("""COMPUTED_VALUE"""),"Immunity to Nature for 3 rounds.")</f>
        <v>Immunity to Nature for 3 rounds.</v>
      </c>
      <c r="C947" s="2" t="str">
        <f>IFERROR(__xludf.DUMMYFUNCTION("""COMPUTED_VALUE"""),"Item")</f>
        <v>Item</v>
      </c>
      <c r="D947" s="2"/>
      <c r="E947" s="2"/>
      <c r="F947" s="2"/>
      <c r="G947" s="2"/>
      <c r="H947" s="2"/>
      <c r="I947" s="2"/>
      <c r="J947" s="2"/>
      <c r="K947" s="2"/>
      <c r="L947" s="2"/>
      <c r="M947" s="2"/>
      <c r="N947" s="2"/>
      <c r="O947" s="2"/>
      <c r="P947" s="2"/>
      <c r="Q947" s="2"/>
      <c r="R947" s="2"/>
      <c r="S947" s="2"/>
      <c r="T947" s="2"/>
      <c r="U947" s="2"/>
      <c r="V947" s="2"/>
      <c r="W947" s="2"/>
      <c r="X947" s="2"/>
      <c r="Y947" s="2"/>
      <c r="Z947" s="2"/>
    </row>
    <row r="948">
      <c r="A948" s="2" t="str">
        <f>IFERROR(__xludf.DUMMYFUNCTION("""COMPUTED_VALUE"""),"Foul Night Foul Smelling potion")</f>
        <v>Foul Night Foul Smelling potion</v>
      </c>
      <c r="B948" s="2" t="str">
        <f>IFERROR(__xludf.DUMMYFUNCTION("""COMPUTED_VALUE"""),"2500 damage and 2500 nature damage and 500 poison damage for 3 rounds")</f>
        <v>2500 damage and 2500 nature damage and 500 poison damage for 3 rounds</v>
      </c>
      <c r="C948" s="2" t="str">
        <f>IFERROR(__xludf.DUMMYFUNCTION("""COMPUTED_VALUE"""),"Item")</f>
        <v>Item</v>
      </c>
      <c r="D948" s="2"/>
      <c r="E948" s="2"/>
      <c r="F948" s="2"/>
      <c r="G948" s="2"/>
      <c r="H948" s="2"/>
      <c r="I948" s="2"/>
      <c r="J948" s="2"/>
      <c r="K948" s="2"/>
      <c r="L948" s="2"/>
      <c r="M948" s="2"/>
      <c r="N948" s="2"/>
      <c r="O948" s="2"/>
      <c r="P948" s="2"/>
      <c r="Q948" s="2"/>
      <c r="R948" s="2"/>
      <c r="S948" s="2"/>
      <c r="T948" s="2"/>
      <c r="U948" s="2"/>
      <c r="V948" s="2"/>
      <c r="W948" s="2"/>
      <c r="X948" s="2"/>
      <c r="Y948" s="2"/>
      <c r="Z948" s="2"/>
    </row>
    <row r="949">
      <c r="A949" s="2" t="str">
        <f>IFERROR(__xludf.DUMMYFUNCTION("""COMPUTED_VALUE"""),"Swampy Seaweed")</f>
        <v>Swampy Seaweed</v>
      </c>
      <c r="B949" s="2" t="str">
        <f>IFERROR(__xludf.DUMMYFUNCTION("""COMPUTED_VALUE""")," Restores 5000 HP and SP.")</f>
        <v> Restores 5000 HP and SP.</v>
      </c>
      <c r="C949" s="2" t="str">
        <f>IFERROR(__xludf.DUMMYFUNCTION("""COMPUTED_VALUE"""),"Item")</f>
        <v>Item</v>
      </c>
      <c r="D949" s="2"/>
      <c r="E949" s="2"/>
      <c r="F949" s="2"/>
      <c r="G949" s="2"/>
      <c r="H949" s="2"/>
      <c r="I949" s="2"/>
      <c r="J949" s="2"/>
      <c r="K949" s="2"/>
      <c r="L949" s="2"/>
      <c r="M949" s="2"/>
      <c r="N949" s="2"/>
      <c r="O949" s="2"/>
      <c r="P949" s="2"/>
      <c r="Q949" s="2"/>
      <c r="R949" s="2"/>
      <c r="S949" s="2"/>
      <c r="T949" s="2"/>
      <c r="U949" s="2"/>
      <c r="V949" s="2"/>
      <c r="W949" s="2"/>
      <c r="X949" s="2"/>
      <c r="Y949" s="2"/>
      <c r="Z949" s="2"/>
    </row>
    <row r="950">
      <c r="A950" s="2" t="str">
        <f>IFERROR(__xludf.DUMMYFUNCTION("""COMPUTED_VALUE"""),"Foul Night Swamp Bubble Grenade")</f>
        <v>Foul Night Swamp Bubble Grenade</v>
      </c>
      <c r="B950" s="2" t="str">
        <f>IFERROR(__xludf.DUMMYFUNCTION("""COMPUTED_VALUE"""),"Poison 10,000 for 3 rounds.")</f>
        <v>Poison 10,000 for 3 rounds.</v>
      </c>
      <c r="C950" s="2" t="str">
        <f>IFERROR(__xludf.DUMMYFUNCTION("""COMPUTED_VALUE"""),"Item")</f>
        <v>Item</v>
      </c>
      <c r="D950" s="2"/>
      <c r="E950" s="2"/>
      <c r="F950" s="2"/>
      <c r="G950" s="2"/>
      <c r="H950" s="2"/>
      <c r="I950" s="2"/>
      <c r="J950" s="2"/>
      <c r="K950" s="2"/>
      <c r="L950" s="2"/>
      <c r="M950" s="2"/>
      <c r="N950" s="2"/>
      <c r="O950" s="2"/>
      <c r="P950" s="2"/>
      <c r="Q950" s="2"/>
      <c r="R950" s="2"/>
      <c r="S950" s="2"/>
      <c r="T950" s="2"/>
      <c r="U950" s="2"/>
      <c r="V950" s="2"/>
      <c r="W950" s="2"/>
      <c r="X950" s="2"/>
      <c r="Y950" s="2"/>
      <c r="Z950" s="2"/>
    </row>
    <row r="951">
      <c r="A951" s="2" t="str">
        <f>IFERROR(__xludf.DUMMYFUNCTION("""COMPUTED_VALUE"""),"Block of Ice")</f>
        <v>Block of Ice</v>
      </c>
      <c r="B951" s="2" t="str">
        <f>IFERROR(__xludf.DUMMYFUNCTION("""COMPUTED_VALUE"""),"Crafting Material, roll a d20 to see how many you get if this is a loot drop.")</f>
        <v>Crafting Material, roll a d20 to see how many you get if this is a loot drop.</v>
      </c>
      <c r="C951" s="2" t="str">
        <f>IFERROR(__xludf.DUMMYFUNCTION("""COMPUTED_VALUE"""),"Item")</f>
        <v>Item</v>
      </c>
      <c r="D951" s="2"/>
      <c r="E951" s="2"/>
      <c r="F951" s="2"/>
      <c r="G951" s="2"/>
      <c r="H951" s="2"/>
      <c r="I951" s="2"/>
      <c r="J951" s="2"/>
      <c r="K951" s="2"/>
      <c r="L951" s="2"/>
      <c r="M951" s="2"/>
      <c r="N951" s="2"/>
      <c r="O951" s="2"/>
      <c r="P951" s="2"/>
      <c r="Q951" s="2"/>
      <c r="R951" s="2"/>
      <c r="S951" s="2"/>
      <c r="T951" s="2"/>
      <c r="U951" s="2"/>
      <c r="V951" s="2"/>
      <c r="W951" s="2"/>
      <c r="X951" s="2"/>
      <c r="Y951" s="2"/>
      <c r="Z951" s="2"/>
    </row>
    <row r="952">
      <c r="A952" s="2" t="str">
        <f>IFERROR(__xludf.DUMMYFUNCTION("""COMPUTED_VALUE"""),"Frost Kings Map")</f>
        <v>Frost Kings Map</v>
      </c>
      <c r="B952" s="2" t="str">
        <f>IFERROR(__xludf.DUMMYFUNCTION("""COMPUTED_VALUE"""),"Special quest item. Speak to the frost king for more info.")</f>
        <v>Special quest item. Speak to the frost king for more info.</v>
      </c>
      <c r="C952" s="2" t="str">
        <f>IFERROR(__xludf.DUMMYFUNCTION("""COMPUTED_VALUE"""),"Item")</f>
        <v>Item</v>
      </c>
      <c r="D952" s="2"/>
      <c r="E952" s="2"/>
      <c r="F952" s="2"/>
      <c r="G952" s="2"/>
      <c r="H952" s="2"/>
      <c r="I952" s="2"/>
      <c r="J952" s="2"/>
      <c r="K952" s="2"/>
      <c r="L952" s="2"/>
      <c r="M952" s="2"/>
      <c r="N952" s="2"/>
      <c r="O952" s="2"/>
      <c r="P952" s="2"/>
      <c r="Q952" s="2"/>
      <c r="R952" s="2"/>
      <c r="S952" s="2"/>
      <c r="T952" s="2"/>
      <c r="U952" s="2"/>
      <c r="V952" s="2"/>
      <c r="W952" s="2"/>
      <c r="X952" s="2"/>
      <c r="Y952" s="2"/>
      <c r="Z952" s="2"/>
    </row>
    <row r="953">
      <c r="A953" s="2" t="str">
        <f>IFERROR(__xludf.DUMMYFUNCTION("""COMPUTED_VALUE"""),"Bacon")</f>
        <v>Bacon</v>
      </c>
      <c r="B953" s="2" t="str">
        <f>IFERROR(__xludf.DUMMYFUNCTION("""COMPUTED_VALUE"""),"Restores 5 health and 5 hunger")</f>
        <v>Restores 5 health and 5 hunger</v>
      </c>
      <c r="C953" s="2" t="str">
        <f>IFERROR(__xludf.DUMMYFUNCTION("""COMPUTED_VALUE"""),"Crop")</f>
        <v>Crop</v>
      </c>
      <c r="D953" s="2"/>
      <c r="E953" s="2"/>
      <c r="F953" s="2"/>
      <c r="G953" s="2"/>
      <c r="H953" s="2"/>
      <c r="I953" s="2"/>
      <c r="J953" s="2"/>
      <c r="K953" s="2"/>
      <c r="L953" s="2"/>
      <c r="M953" s="2"/>
      <c r="N953" s="2"/>
      <c r="O953" s="2"/>
      <c r="P953" s="2"/>
      <c r="Q953" s="2"/>
      <c r="R953" s="2"/>
      <c r="S953" s="2"/>
      <c r="T953" s="2"/>
      <c r="U953" s="2"/>
      <c r="V953" s="2"/>
      <c r="W953" s="2"/>
      <c r="X953" s="2"/>
      <c r="Y953" s="2"/>
      <c r="Z953" s="2"/>
    </row>
    <row r="954">
      <c r="A954" s="2" t="str">
        <f>IFERROR(__xludf.DUMMYFUNCTION("""COMPUTED_VALUE"""),"Bread")</f>
        <v>Bread</v>
      </c>
      <c r="B954" s="2" t="str">
        <f>IFERROR(__xludf.DUMMYFUNCTION("""COMPUTED_VALUE"""),"10 Hunger")</f>
        <v>10 Hunger</v>
      </c>
      <c r="C954" s="2" t="str">
        <f>IFERROR(__xludf.DUMMYFUNCTION("""COMPUTED_VALUE"""),"Crop")</f>
        <v>Crop</v>
      </c>
      <c r="D954" s="2"/>
      <c r="E954" s="2"/>
      <c r="F954" s="2"/>
      <c r="G954" s="2"/>
      <c r="H954" s="2"/>
      <c r="I954" s="2"/>
      <c r="J954" s="2"/>
      <c r="K954" s="2"/>
      <c r="L954" s="2"/>
      <c r="M954" s="2"/>
      <c r="N954" s="2"/>
      <c r="O954" s="2"/>
      <c r="P954" s="2"/>
      <c r="Q954" s="2"/>
      <c r="R954" s="2"/>
      <c r="S954" s="2"/>
      <c r="T954" s="2"/>
      <c r="U954" s="2"/>
      <c r="V954" s="2"/>
      <c r="W954" s="2"/>
      <c r="X954" s="2"/>
      <c r="Y954" s="2"/>
      <c r="Z954" s="2"/>
    </row>
    <row r="955">
      <c r="A955" s="2" t="str">
        <f>IFERROR(__xludf.DUMMYFUNCTION("""COMPUTED_VALUE"""),"Unknown dried meat")</f>
        <v>Unknown dried meat</v>
      </c>
      <c r="B955" s="2" t="str">
        <f>IFERROR(__xludf.DUMMYFUNCTION("""COMPUTED_VALUE"""),"15 Hunger, 5% chance to lose 10 HP")</f>
        <v>15 Hunger, 5% chance to lose 10 HP</v>
      </c>
      <c r="C955" s="2" t="str">
        <f>IFERROR(__xludf.DUMMYFUNCTION("""COMPUTED_VALUE"""),"Crop")</f>
        <v>Crop</v>
      </c>
      <c r="D955" s="2"/>
      <c r="E955" s="2"/>
      <c r="F955" s="2"/>
      <c r="G955" s="2"/>
      <c r="H955" s="2"/>
      <c r="I955" s="2"/>
      <c r="J955" s="2"/>
      <c r="K955" s="2"/>
      <c r="L955" s="2"/>
      <c r="M955" s="2"/>
      <c r="N955" s="2"/>
      <c r="O955" s="2"/>
      <c r="P955" s="2"/>
      <c r="Q955" s="2"/>
      <c r="R955" s="2"/>
      <c r="S955" s="2"/>
      <c r="T955" s="2"/>
      <c r="U955" s="2"/>
      <c r="V955" s="2"/>
      <c r="W955" s="2"/>
      <c r="X955" s="2"/>
      <c r="Y955" s="2"/>
      <c r="Z955" s="2"/>
    </row>
    <row r="956">
      <c r="A956" s="2" t="str">
        <f>IFERROR(__xludf.DUMMYFUNCTION("""COMPUTED_VALUE"""),"Water")</f>
        <v>Water</v>
      </c>
      <c r="B956" s="2" t="str">
        <f>IFERROR(__xludf.DUMMYFUNCTION("""COMPUTED_VALUE"""),"10 Thirst")</f>
        <v>10 Thirst</v>
      </c>
      <c r="C956" s="2" t="str">
        <f>IFERROR(__xludf.DUMMYFUNCTION("""COMPUTED_VALUE"""),"Item")</f>
        <v>Item</v>
      </c>
      <c r="D956" s="2"/>
      <c r="E956" s="2"/>
      <c r="F956" s="2"/>
      <c r="G956" s="2"/>
      <c r="H956" s="2"/>
      <c r="I956" s="2"/>
      <c r="J956" s="2"/>
      <c r="K956" s="2"/>
      <c r="L956" s="2"/>
      <c r="M956" s="2"/>
      <c r="N956" s="2"/>
      <c r="O956" s="2"/>
      <c r="P956" s="2"/>
      <c r="Q956" s="2"/>
      <c r="R956" s="2"/>
      <c r="S956" s="2"/>
      <c r="T956" s="2"/>
      <c r="U956" s="2"/>
      <c r="V956" s="2"/>
      <c r="W956" s="2"/>
      <c r="X956" s="2"/>
      <c r="Y956" s="2"/>
      <c r="Z956" s="2"/>
    </row>
    <row r="957">
      <c r="A957" s="2" t="str">
        <f>IFERROR(__xludf.DUMMYFUNCTION("""COMPUTED_VALUE"""),"Rum")</f>
        <v>Rum</v>
      </c>
      <c r="B957" s="2" t="str">
        <f>IFERROR(__xludf.DUMMYFUNCTION("""COMPUTED_VALUE"""),"50 Thirst, -1 SP")</f>
        <v>50 Thirst, -1 SP</v>
      </c>
      <c r="C957" s="2" t="str">
        <f>IFERROR(__xludf.DUMMYFUNCTION("""COMPUTED_VALUE"""),"Item")</f>
        <v>Item</v>
      </c>
      <c r="D957" s="2"/>
      <c r="E957" s="2"/>
      <c r="F957" s="2"/>
      <c r="G957" s="2"/>
      <c r="H957" s="2"/>
      <c r="I957" s="2"/>
      <c r="J957" s="2"/>
      <c r="K957" s="2"/>
      <c r="L957" s="2"/>
      <c r="M957" s="2"/>
      <c r="N957" s="2"/>
      <c r="O957" s="2"/>
      <c r="P957" s="2"/>
      <c r="Q957" s="2"/>
      <c r="R957" s="2"/>
      <c r="S957" s="2"/>
      <c r="T957" s="2"/>
      <c r="U957" s="2"/>
      <c r="V957" s="2"/>
      <c r="W957" s="2"/>
      <c r="X957" s="2"/>
      <c r="Y957" s="2"/>
      <c r="Z957" s="2"/>
    </row>
    <row r="958">
      <c r="A958" s="2" t="str">
        <f>IFERROR(__xludf.DUMMYFUNCTION("""COMPUTED_VALUE"""),"Spirits")</f>
        <v>Spirits</v>
      </c>
      <c r="B958" s="2" t="str">
        <f>IFERROR(__xludf.DUMMYFUNCTION("""COMPUTED_VALUE"""),"20 Thirst, +2 SP")</f>
        <v>20 Thirst, +2 SP</v>
      </c>
      <c r="C958" s="2" t="str">
        <f>IFERROR(__xludf.DUMMYFUNCTION("""COMPUTED_VALUE"""),"Item")</f>
        <v>Item</v>
      </c>
      <c r="D958" s="2"/>
      <c r="E958" s="2"/>
      <c r="F958" s="2"/>
      <c r="G958" s="2"/>
      <c r="H958" s="2"/>
      <c r="I958" s="2"/>
      <c r="J958" s="2"/>
      <c r="K958" s="2"/>
      <c r="L958" s="2"/>
      <c r="M958" s="2"/>
      <c r="N958" s="2"/>
      <c r="O958" s="2"/>
      <c r="P958" s="2"/>
      <c r="Q958" s="2"/>
      <c r="R958" s="2"/>
      <c r="S958" s="2"/>
      <c r="T958" s="2"/>
      <c r="U958" s="2"/>
      <c r="V958" s="2"/>
      <c r="W958" s="2"/>
      <c r="X958" s="2"/>
      <c r="Y958" s="2"/>
      <c r="Z958" s="2"/>
    </row>
    <row r="959">
      <c r="A959" s="2" t="str">
        <f>IFERROR(__xludf.DUMMYFUNCTION("""COMPUTED_VALUE"""),"Yeast")</f>
        <v>Yeast</v>
      </c>
      <c r="B959" s="2" t="str">
        <f>IFERROR(__xludf.DUMMYFUNCTION("""COMPUTED_VALUE"""),"Crafting Material, roll a d20 to see how many you get if this is a loot drop.")</f>
        <v>Crafting Material, roll a d20 to see how many you get if this is a loot drop.</v>
      </c>
      <c r="C959" s="2" t="str">
        <f>IFERROR(__xludf.DUMMYFUNCTION("""COMPUTED_VALUE"""),"Item")</f>
        <v>Item</v>
      </c>
      <c r="D959" s="2"/>
      <c r="E959" s="2"/>
      <c r="F959" s="2"/>
      <c r="G959" s="2"/>
      <c r="H959" s="2"/>
      <c r="I959" s="2"/>
      <c r="J959" s="2"/>
      <c r="K959" s="2"/>
      <c r="L959" s="2"/>
      <c r="M959" s="2"/>
      <c r="N959" s="2"/>
      <c r="O959" s="2"/>
      <c r="P959" s="2"/>
      <c r="Q959" s="2"/>
      <c r="R959" s="2"/>
      <c r="S959" s="2"/>
      <c r="T959" s="2"/>
      <c r="U959" s="2"/>
      <c r="V959" s="2"/>
      <c r="W959" s="2"/>
      <c r="X959" s="2"/>
      <c r="Y959" s="2"/>
      <c r="Z959" s="2"/>
    </row>
    <row r="960">
      <c r="A960" s="2" t="str">
        <f>IFERROR(__xludf.DUMMYFUNCTION("""COMPUTED_VALUE"""),"Mead")</f>
        <v>Mead</v>
      </c>
      <c r="B960" s="2" t="str">
        <f>IFERROR(__xludf.DUMMYFUNCTION("""COMPUTED_VALUE"""),"25 Thirst")</f>
        <v>25 Thirst</v>
      </c>
      <c r="C960" s="2" t="str">
        <f>IFERROR(__xludf.DUMMYFUNCTION("""COMPUTED_VALUE"""),"Item")</f>
        <v>Item</v>
      </c>
      <c r="D960" s="2"/>
      <c r="E960" s="2"/>
      <c r="F960" s="2"/>
      <c r="G960" s="2"/>
      <c r="H960" s="2"/>
      <c r="I960" s="2"/>
      <c r="J960" s="2"/>
      <c r="K960" s="2"/>
      <c r="L960" s="2"/>
      <c r="M960" s="2"/>
      <c r="N960" s="2"/>
      <c r="O960" s="2"/>
      <c r="P960" s="2"/>
      <c r="Q960" s="2"/>
      <c r="R960" s="2"/>
      <c r="S960" s="2"/>
      <c r="T960" s="2"/>
      <c r="U960" s="2"/>
      <c r="V960" s="2"/>
      <c r="W960" s="2"/>
      <c r="X960" s="2"/>
      <c r="Y960" s="2"/>
      <c r="Z960" s="2"/>
    </row>
    <row r="961">
      <c r="A961" s="2" t="str">
        <f>IFERROR(__xludf.DUMMYFUNCTION("""COMPUTED_VALUE"""),"Water Tome Rank 9")</f>
        <v>Water Tome Rank 9</v>
      </c>
      <c r="B961" s="2" t="str">
        <f>IFERROR(__xludf.DUMMYFUNCTION("""COMPUTED_VALUE"""),"Can use up to Rank 9 Water Spells")</f>
        <v>Can use up to Rank 9 Water Spells</v>
      </c>
      <c r="C961" s="2" t="str">
        <f>IFERROR(__xludf.DUMMYFUNCTION("""COMPUTED_VALUE"""),"Item")</f>
        <v>Item</v>
      </c>
      <c r="D961" s="2"/>
      <c r="E961" s="2"/>
      <c r="F961" s="2"/>
      <c r="G961" s="2"/>
      <c r="H961" s="2"/>
      <c r="I961" s="2"/>
      <c r="J961" s="2"/>
      <c r="K961" s="2"/>
      <c r="L961" s="2"/>
      <c r="M961" s="2"/>
      <c r="N961" s="2"/>
      <c r="O961" s="2"/>
      <c r="P961" s="2"/>
      <c r="Q961" s="2"/>
      <c r="R961" s="2"/>
      <c r="S961" s="2"/>
      <c r="T961" s="2"/>
      <c r="U961" s="2"/>
      <c r="V961" s="2"/>
      <c r="W961" s="2"/>
      <c r="X961" s="2"/>
      <c r="Y961" s="2"/>
      <c r="Z961" s="2"/>
    </row>
    <row r="962">
      <c r="A962" s="2" t="str">
        <f>IFERROR(__xludf.DUMMYFUNCTION("""COMPUTED_VALUE"""),"Dragon Flute")</f>
        <v>Dragon Flute</v>
      </c>
      <c r="B962" s="2" t="str">
        <f>IFERROR(__xludf.DUMMYFUNCTION("""COMPUTED_VALUE"""),"Summons 1 of the following dragons with a d4 roll: Fire Dragon, Poison Dragon, Storm Dragon, Ancient Water Dragon (Can only be used once) (Level determined by dm/gm)")</f>
        <v>Summons 1 of the following dragons with a d4 roll: Fire Dragon, Poison Dragon, Storm Dragon, Ancient Water Dragon (Can only be used once) (Level determined by dm/gm)</v>
      </c>
      <c r="C962" s="2" t="str">
        <f>IFERROR(__xludf.DUMMYFUNCTION("""COMPUTED_VALUE"""),"Item")</f>
        <v>Item</v>
      </c>
      <c r="D962" s="2"/>
      <c r="E962" s="2"/>
      <c r="F962" s="2"/>
      <c r="G962" s="2"/>
      <c r="H962" s="2"/>
      <c r="I962" s="2"/>
      <c r="J962" s="2"/>
      <c r="K962" s="2"/>
      <c r="L962" s="2"/>
      <c r="M962" s="2"/>
      <c r="N962" s="2"/>
      <c r="O962" s="2"/>
      <c r="P962" s="2"/>
      <c r="Q962" s="2"/>
      <c r="R962" s="2"/>
      <c r="S962" s="2"/>
      <c r="T962" s="2"/>
      <c r="U962" s="2"/>
      <c r="V962" s="2"/>
      <c r="W962" s="2"/>
      <c r="X962" s="2"/>
      <c r="Y962" s="2"/>
      <c r="Z962" s="2"/>
    </row>
    <row r="963">
      <c r="A963" s="2" t="str">
        <f>IFERROR(__xludf.DUMMYFUNCTION("""COMPUTED_VALUE"""),"Last Resort Potion")</f>
        <v>Last Resort Potion</v>
      </c>
      <c r="B963" s="2" t="str">
        <f>IFERROR(__xludf.DUMMYFUNCTION("""COMPUTED_VALUE"""),"You can only use this when you have no sp left. When consumed, Gain all of your sp and hp back and deal X4 towards your next attack, but you will instantly die after 3 rounds.")</f>
        <v>You can only use this when you have no sp left. When consumed, Gain all of your sp and hp back and deal X4 towards your next attack, but you will instantly die after 3 rounds.</v>
      </c>
      <c r="C963" s="2" t="str">
        <f>IFERROR(__xludf.DUMMYFUNCTION("""COMPUTED_VALUE"""),"Item")</f>
        <v>Item</v>
      </c>
      <c r="D963" s="2"/>
      <c r="E963" s="2"/>
      <c r="F963" s="2"/>
      <c r="G963" s="2"/>
      <c r="H963" s="2"/>
      <c r="I963" s="2"/>
      <c r="J963" s="2"/>
      <c r="K963" s="2"/>
      <c r="L963" s="2"/>
      <c r="M963" s="2"/>
      <c r="N963" s="2"/>
      <c r="O963" s="2"/>
      <c r="P963" s="2"/>
      <c r="Q963" s="2"/>
      <c r="R963" s="2"/>
      <c r="S963" s="2"/>
      <c r="T963" s="2"/>
      <c r="U963" s="2"/>
      <c r="V963" s="2"/>
      <c r="W963" s="2"/>
      <c r="X963" s="2"/>
      <c r="Y963" s="2"/>
      <c r="Z963" s="2"/>
    </row>
    <row r="964">
      <c r="A964" s="2" t="str">
        <f>IFERROR(__xludf.DUMMYFUNCTION("""COMPUTED_VALUE"""),"Fish in a Bottle")</f>
        <v>Fish in a Bottle</v>
      </c>
      <c r="B964" s="2" t="str">
        <f>IFERROR(__xludf.DUMMYFUNCTION("""COMPUTED_VALUE"""),"Consume to regain 50HP and 50SP")</f>
        <v>Consume to regain 50HP and 50SP</v>
      </c>
      <c r="C964" s="2" t="str">
        <f>IFERROR(__xludf.DUMMYFUNCTION("""COMPUTED_VALUE"""),"Item")</f>
        <v>Item</v>
      </c>
      <c r="D964" s="2"/>
      <c r="E964" s="2"/>
      <c r="F964" s="2"/>
      <c r="G964" s="2"/>
      <c r="H964" s="2"/>
      <c r="I964" s="2"/>
      <c r="J964" s="2"/>
      <c r="K964" s="2"/>
      <c r="L964" s="2"/>
      <c r="M964" s="2"/>
      <c r="N964" s="2"/>
      <c r="O964" s="2"/>
      <c r="P964" s="2"/>
      <c r="Q964" s="2"/>
      <c r="R964" s="2"/>
      <c r="S964" s="2"/>
      <c r="T964" s="2"/>
      <c r="U964" s="2"/>
      <c r="V964" s="2"/>
      <c r="W964" s="2"/>
      <c r="X964" s="2"/>
      <c r="Y964" s="2"/>
      <c r="Z964" s="2"/>
    </row>
    <row r="965">
      <c r="A965" s="2" t="str">
        <f>IFERROR(__xludf.DUMMYFUNCTION("""COMPUTED_VALUE"""),"Barrel of Poisonous Water")</f>
        <v>Barrel of Poisonous Water</v>
      </c>
      <c r="B965" s="2" t="str">
        <f>IFERROR(__xludf.DUMMYFUNCTION("""COMPUTED_VALUE"""),"POISON THE QUEEN!")</f>
        <v>POISON THE QUEEN!</v>
      </c>
      <c r="C965" s="2" t="str">
        <f>IFERROR(__xludf.DUMMYFUNCTION("""COMPUTED_VALUE"""),"Item")</f>
        <v>Item</v>
      </c>
      <c r="D965" s="2"/>
      <c r="E965" s="2"/>
      <c r="F965" s="2"/>
      <c r="G965" s="2"/>
      <c r="H965" s="2"/>
      <c r="I965" s="2"/>
      <c r="J965" s="2"/>
      <c r="K965" s="2"/>
      <c r="L965" s="2"/>
      <c r="M965" s="2"/>
      <c r="N965" s="2"/>
      <c r="O965" s="2"/>
      <c r="P965" s="2"/>
      <c r="Q965" s="2"/>
      <c r="R965" s="2"/>
      <c r="S965" s="2"/>
      <c r="T965" s="2"/>
      <c r="U965" s="2"/>
      <c r="V965" s="2"/>
      <c r="W965" s="2"/>
      <c r="X965" s="2"/>
      <c r="Y965" s="2"/>
      <c r="Z965" s="2"/>
    </row>
    <row r="966">
      <c r="A966" s="2" t="str">
        <f>IFERROR(__xludf.DUMMYFUNCTION("""COMPUTED_VALUE"""),"Live Worm")</f>
        <v>Live Worm</v>
      </c>
      <c r="B966" s="2" t="str">
        <f>IFERROR(__xludf.DUMMYFUNCTION("""COMPUTED_VALUE"""),"Can be used as bait. 1 use per worm")</f>
        <v>Can be used as bait. 1 use per worm</v>
      </c>
      <c r="C966" s="2" t="str">
        <f>IFERROR(__xludf.DUMMYFUNCTION("""COMPUTED_VALUE"""),"Item")</f>
        <v>Item</v>
      </c>
      <c r="D966" s="2"/>
      <c r="E966" s="2"/>
      <c r="F966" s="2"/>
      <c r="G966" s="2"/>
      <c r="H966" s="2"/>
      <c r="I966" s="2"/>
      <c r="J966" s="2"/>
      <c r="K966" s="2"/>
      <c r="L966" s="2"/>
      <c r="M966" s="2"/>
      <c r="N966" s="2"/>
      <c r="O966" s="2"/>
      <c r="P966" s="2"/>
      <c r="Q966" s="2"/>
      <c r="R966" s="2"/>
      <c r="S966" s="2"/>
      <c r="T966" s="2"/>
      <c r="U966" s="2"/>
      <c r="V966" s="2"/>
      <c r="W966" s="2"/>
      <c r="X966" s="2"/>
      <c r="Y966" s="2"/>
      <c r="Z966" s="2"/>
    </row>
    <row r="967">
      <c r="A967" s="2" t="str">
        <f>IFERROR(__xludf.DUMMYFUNCTION("""COMPUTED_VALUE"""),"Iron Fishing Pole")</f>
        <v>Iron Fishing Pole</v>
      </c>
      <c r="B967" s="2" t="str">
        <f>IFERROR(__xludf.DUMMYFUNCTION("""COMPUTED_VALUE"""),"20/20 Uses. Used for fishing.")</f>
        <v>20/20 Uses. Used for fishing.</v>
      </c>
      <c r="C967" s="2" t="str">
        <f>IFERROR(__xludf.DUMMYFUNCTION("""COMPUTED_VALUE"""),"Item")</f>
        <v>Item</v>
      </c>
      <c r="D967" s="2"/>
      <c r="E967" s="2"/>
      <c r="F967" s="2"/>
      <c r="G967" s="2"/>
      <c r="H967" s="2"/>
      <c r="I967" s="2"/>
      <c r="J967" s="2"/>
      <c r="K967" s="2"/>
      <c r="L967" s="2"/>
      <c r="M967" s="2"/>
      <c r="N967" s="2"/>
      <c r="O967" s="2"/>
      <c r="P967" s="2"/>
      <c r="Q967" s="2"/>
      <c r="R967" s="2"/>
      <c r="S967" s="2"/>
      <c r="T967" s="2"/>
      <c r="U967" s="2"/>
      <c r="V967" s="2"/>
      <c r="W967" s="2"/>
      <c r="X967" s="2"/>
      <c r="Y967" s="2"/>
      <c r="Z967" s="2"/>
    </row>
    <row r="968">
      <c r="A968" s="2" t="str">
        <f>IFERROR(__xludf.DUMMYFUNCTION("""COMPUTED_VALUE"""),"Fishing Lure Beginner")</f>
        <v>Fishing Lure Beginner</v>
      </c>
      <c r="B968" s="2" t="str">
        <f>IFERROR(__xludf.DUMMYFUNCTION("""COMPUTED_VALUE"""),"Used for fishing competition, add a +1 or -1 to your fishing rolls")</f>
        <v>Used for fishing competition, add a +1 or -1 to your fishing rolls</v>
      </c>
      <c r="C968" s="2" t="str">
        <f>IFERROR(__xludf.DUMMYFUNCTION("""COMPUTED_VALUE"""),"Item")</f>
        <v>Item</v>
      </c>
      <c r="D968" s="2"/>
      <c r="E968" s="2"/>
      <c r="F968" s="2"/>
      <c r="G968" s="2"/>
      <c r="H968" s="2"/>
      <c r="I968" s="2"/>
      <c r="J968" s="2"/>
      <c r="K968" s="2"/>
      <c r="L968" s="2"/>
      <c r="M968" s="2"/>
      <c r="N968" s="2"/>
      <c r="O968" s="2"/>
      <c r="P968" s="2"/>
      <c r="Q968" s="2"/>
      <c r="R968" s="2"/>
      <c r="S968" s="2"/>
      <c r="T968" s="2"/>
      <c r="U968" s="2"/>
      <c r="V968" s="2"/>
      <c r="W968" s="2"/>
      <c r="X968" s="2"/>
      <c r="Y968" s="2"/>
      <c r="Z968" s="2"/>
    </row>
    <row r="969">
      <c r="A969" s="2" t="str">
        <f>IFERROR(__xludf.DUMMYFUNCTION("""COMPUTED_VALUE"""),"Fishing Lure Moderate")</f>
        <v>Fishing Lure Moderate</v>
      </c>
      <c r="B969" s="2" t="str">
        <f>IFERROR(__xludf.DUMMYFUNCTION("""COMPUTED_VALUE"""),"Used for fishing competition, add a +3 or -3 to your fishing rolls")</f>
        <v>Used for fishing competition, add a +3 or -3 to your fishing rolls</v>
      </c>
      <c r="C969" s="2" t="str">
        <f>IFERROR(__xludf.DUMMYFUNCTION("""COMPUTED_VALUE"""),"Item")</f>
        <v>Item</v>
      </c>
      <c r="D969" s="2"/>
      <c r="E969" s="2"/>
      <c r="F969" s="2"/>
      <c r="G969" s="2"/>
      <c r="H969" s="2"/>
      <c r="I969" s="2"/>
      <c r="J969" s="2"/>
      <c r="K969" s="2"/>
      <c r="L969" s="2"/>
      <c r="M969" s="2"/>
      <c r="N969" s="2"/>
      <c r="O969" s="2"/>
      <c r="P969" s="2"/>
      <c r="Q969" s="2"/>
      <c r="R969" s="2"/>
      <c r="S969" s="2"/>
      <c r="T969" s="2"/>
      <c r="U969" s="2"/>
      <c r="V969" s="2"/>
      <c r="W969" s="2"/>
      <c r="X969" s="2"/>
      <c r="Y969" s="2"/>
      <c r="Z969" s="2"/>
    </row>
    <row r="970">
      <c r="A970" s="2" t="str">
        <f>IFERROR(__xludf.DUMMYFUNCTION("""COMPUTED_VALUE"""),"Fishing Lure Expert")</f>
        <v>Fishing Lure Expert</v>
      </c>
      <c r="B970" s="2" t="str">
        <f>IFERROR(__xludf.DUMMYFUNCTION("""COMPUTED_VALUE"""),"Used for fishing competition, add a +5 or -5 to your fishing rolls")</f>
        <v>Used for fishing competition, add a +5 or -5 to your fishing rolls</v>
      </c>
      <c r="C970" s="2" t="str">
        <f>IFERROR(__xludf.DUMMYFUNCTION("""COMPUTED_VALUE"""),"Item")</f>
        <v>Item</v>
      </c>
      <c r="D970" s="2"/>
      <c r="E970" s="2"/>
      <c r="F970" s="2"/>
      <c r="G970" s="2"/>
      <c r="H970" s="2"/>
      <c r="I970" s="2"/>
      <c r="J970" s="2"/>
      <c r="K970" s="2"/>
      <c r="L970" s="2"/>
      <c r="M970" s="2"/>
      <c r="N970" s="2"/>
      <c r="O970" s="2"/>
      <c r="P970" s="2"/>
      <c r="Q970" s="2"/>
      <c r="R970" s="2"/>
      <c r="S970" s="2"/>
      <c r="T970" s="2"/>
      <c r="U970" s="2"/>
      <c r="V970" s="2"/>
      <c r="W970" s="2"/>
      <c r="X970" s="2"/>
      <c r="Y970" s="2"/>
      <c r="Z970" s="2"/>
    </row>
    <row r="971">
      <c r="A971" s="2" t="str">
        <f>IFERROR(__xludf.DUMMYFUNCTION("""COMPUTED_VALUE"""),"Fossilized Water Dragon Bones")</f>
        <v>Fossilized Water Dragon Bones</v>
      </c>
      <c r="B971" s="2" t="str">
        <f>IFERROR(__xludf.DUMMYFUNCTION("""COMPUTED_VALUE"""),"Crafting Material, roll a d20 to see how many you get if this is a loot drop.")</f>
        <v>Crafting Material, roll a d20 to see how many you get if this is a loot drop.</v>
      </c>
      <c r="C971" s="2" t="str">
        <f>IFERROR(__xludf.DUMMYFUNCTION("""COMPUTED_VALUE"""),"Item")</f>
        <v>Item</v>
      </c>
      <c r="D971" s="2"/>
      <c r="E971" s="2"/>
      <c r="F971" s="2"/>
      <c r="G971" s="2"/>
      <c r="H971" s="2"/>
      <c r="I971" s="2"/>
      <c r="J971" s="2"/>
      <c r="K971" s="2"/>
      <c r="L971" s="2"/>
      <c r="M971" s="2"/>
      <c r="N971" s="2"/>
      <c r="O971" s="2"/>
      <c r="P971" s="2"/>
      <c r="Q971" s="2"/>
      <c r="R971" s="2"/>
      <c r="S971" s="2"/>
      <c r="T971" s="2"/>
      <c r="U971" s="2"/>
      <c r="V971" s="2"/>
      <c r="W971" s="2"/>
      <c r="X971" s="2"/>
      <c r="Y971" s="2"/>
      <c r="Z971" s="2"/>
    </row>
    <row r="972">
      <c r="A972" s="2" t="str">
        <f>IFERROR(__xludf.DUMMYFUNCTION("""COMPUTED_VALUE"""),"Return Home Gem")</f>
        <v>Return Home Gem</v>
      </c>
      <c r="B972" s="2" t="str">
        <f>IFERROR(__xludf.DUMMYFUNCTION("""COMPUTED_VALUE"""),"Only one per player in backpack. Instantly teleports you to the last town you were at without fail.")</f>
        <v>Only one per player in backpack. Instantly teleports you to the last town you were at without fail.</v>
      </c>
      <c r="C972" s="2" t="str">
        <f>IFERROR(__xludf.DUMMYFUNCTION("""COMPUTED_VALUE"""),"Item")</f>
        <v>Item</v>
      </c>
      <c r="D972" s="2"/>
      <c r="E972" s="2"/>
      <c r="F972" s="2"/>
      <c r="G972" s="2"/>
      <c r="H972" s="2"/>
      <c r="I972" s="2"/>
      <c r="J972" s="2"/>
      <c r="K972" s="2"/>
      <c r="L972" s="2"/>
      <c r="M972" s="2"/>
      <c r="N972" s="2"/>
      <c r="O972" s="2"/>
      <c r="P972" s="2"/>
      <c r="Q972" s="2"/>
      <c r="R972" s="2"/>
      <c r="S972" s="2"/>
      <c r="T972" s="2"/>
      <c r="U972" s="2"/>
      <c r="V972" s="2"/>
      <c r="W972" s="2"/>
      <c r="X972" s="2"/>
      <c r="Y972" s="2"/>
      <c r="Z972" s="2"/>
    </row>
    <row r="973">
      <c r="A973" s="2" t="str">
        <f>IFERROR(__xludf.DUMMYFUNCTION("""COMPUTED_VALUE"""),"Immunity to water potion temp")</f>
        <v>Immunity to water potion temp</v>
      </c>
      <c r="B973" s="2" t="str">
        <f>IFERROR(__xludf.DUMMYFUNCTION("""COMPUTED_VALUE"""),"Immune to water based attacks for one battle (does not count as a turn)")</f>
        <v>Immune to water based attacks for one battle (does not count as a turn)</v>
      </c>
      <c r="C973" s="2" t="str">
        <f>IFERROR(__xludf.DUMMYFUNCTION("""COMPUTED_VALUE"""),"Item")</f>
        <v>Item</v>
      </c>
      <c r="D973" s="2"/>
      <c r="E973" s="2"/>
      <c r="F973" s="2"/>
      <c r="G973" s="2"/>
      <c r="H973" s="2"/>
      <c r="I973" s="2"/>
      <c r="J973" s="2"/>
      <c r="K973" s="2"/>
      <c r="L973" s="2"/>
      <c r="M973" s="2"/>
      <c r="N973" s="2"/>
      <c r="O973" s="2"/>
      <c r="P973" s="2"/>
      <c r="Q973" s="2"/>
      <c r="R973" s="2"/>
      <c r="S973" s="2"/>
      <c r="T973" s="2"/>
      <c r="U973" s="2"/>
      <c r="V973" s="2"/>
      <c r="W973" s="2"/>
      <c r="X973" s="2"/>
      <c r="Y973" s="2"/>
      <c r="Z973" s="2"/>
    </row>
    <row r="974">
      <c r="A974" s="2" t="str">
        <f>IFERROR(__xludf.DUMMYFUNCTION("""COMPUTED_VALUE"""),"Legendary Sea Monster Meat")</f>
        <v>Legendary Sea Monster Meat</v>
      </c>
      <c r="B974" s="2" t="str">
        <f>IFERROR(__xludf.DUMMYFUNCTION("""COMPUTED_VALUE"""),"Increase Health and Defense by 100 for next three battles (Can not be used in battle must be used between battles)")</f>
        <v>Increase Health and Defense by 100 for next three battles (Can not be used in battle must be used between battles)</v>
      </c>
      <c r="C974" s="2" t="str">
        <f>IFERROR(__xludf.DUMMYFUNCTION("""COMPUTED_VALUE"""),"Item")</f>
        <v>Item</v>
      </c>
      <c r="D974" s="2"/>
      <c r="E974" s="2"/>
      <c r="F974" s="2"/>
      <c r="G974" s="2"/>
      <c r="H974" s="2"/>
      <c r="I974" s="2"/>
      <c r="J974" s="2"/>
      <c r="K974" s="2"/>
      <c r="L974" s="2"/>
      <c r="M974" s="2"/>
      <c r="N974" s="2"/>
      <c r="O974" s="2"/>
      <c r="P974" s="2"/>
      <c r="Q974" s="2"/>
      <c r="R974" s="2"/>
      <c r="S974" s="2"/>
      <c r="T974" s="2"/>
      <c r="U974" s="2"/>
      <c r="V974" s="2"/>
      <c r="W974" s="2"/>
      <c r="X974" s="2"/>
      <c r="Y974" s="2"/>
      <c r="Z974" s="2"/>
    </row>
    <row r="975">
      <c r="A975" s="2" t="str">
        <f>IFERROR(__xludf.DUMMYFUNCTION("""COMPUTED_VALUE"""),"Scroll of The Sea Monster")</f>
        <v>Scroll of The Sea Monster</v>
      </c>
      <c r="B975" s="2" t="str">
        <f>IFERROR(__xludf.DUMMYFUNCTION("""COMPUTED_VALUE"""),"X2 to water damage for the caster until end of battle, water spells also become unblockable for 3 rounds.")</f>
        <v>X2 to water damage for the caster until end of battle, water spells also become unblockable for 3 rounds.</v>
      </c>
      <c r="C975" s="2" t="str">
        <f>IFERROR(__xludf.DUMMYFUNCTION("""COMPUTED_VALUE"""),"Item")</f>
        <v>Item</v>
      </c>
      <c r="D975" s="2"/>
      <c r="E975" s="2"/>
      <c r="F975" s="2"/>
      <c r="G975" s="2"/>
      <c r="H975" s="2"/>
      <c r="I975" s="2"/>
      <c r="J975" s="2"/>
      <c r="K975" s="2"/>
      <c r="L975" s="2"/>
      <c r="M975" s="2"/>
      <c r="N975" s="2"/>
      <c r="O975" s="2"/>
      <c r="P975" s="2"/>
      <c r="Q975" s="2"/>
      <c r="R975" s="2"/>
      <c r="S975" s="2"/>
      <c r="T975" s="2"/>
      <c r="U975" s="2"/>
      <c r="V975" s="2"/>
      <c r="W975" s="2"/>
      <c r="X975" s="2"/>
      <c r="Y975" s="2"/>
      <c r="Z975" s="2"/>
    </row>
    <row r="976">
      <c r="A976" s="2" t="str">
        <f>IFERROR(__xludf.DUMMYFUNCTION("""COMPUTED_VALUE"""),"Paper scraps")</f>
        <v>Paper scraps</v>
      </c>
      <c r="B976" s="2" t="str">
        <f>IFERROR(__xludf.DUMMYFUNCTION("""COMPUTED_VALUE"""),"Crafting Material, roll a d20 to see how many you get if this is a loot drop.")</f>
        <v>Crafting Material, roll a d20 to see how many you get if this is a loot drop.</v>
      </c>
      <c r="C976" s="2" t="str">
        <f>IFERROR(__xludf.DUMMYFUNCTION("""COMPUTED_VALUE"""),"Item")</f>
        <v>Item</v>
      </c>
      <c r="D976" s="2"/>
      <c r="E976" s="2"/>
      <c r="F976" s="2"/>
      <c r="G976" s="2"/>
      <c r="H976" s="2"/>
      <c r="I976" s="2"/>
      <c r="J976" s="2"/>
      <c r="K976" s="2"/>
      <c r="L976" s="2"/>
      <c r="M976" s="2"/>
      <c r="N976" s="2"/>
      <c r="O976" s="2"/>
      <c r="P976" s="2"/>
      <c r="Q976" s="2"/>
      <c r="R976" s="2"/>
      <c r="S976" s="2"/>
      <c r="T976" s="2"/>
      <c r="U976" s="2"/>
      <c r="V976" s="2"/>
      <c r="W976" s="2"/>
      <c r="X976" s="2"/>
      <c r="Y976" s="2"/>
      <c r="Z976" s="2"/>
    </row>
    <row r="977">
      <c r="A977" s="2" t="str">
        <f>IFERROR(__xludf.DUMMYFUNCTION("""COMPUTED_VALUE"""),"Blank piece of paper")</f>
        <v>Blank piece of paper</v>
      </c>
      <c r="B977" s="2" t="str">
        <f>IFERROR(__xludf.DUMMYFUNCTION("""COMPUTED_VALUE"""),"Crafting Material, roll a d20 to see how many you get if this is a loot drop.")</f>
        <v>Crafting Material, roll a d20 to see how many you get if this is a loot drop.</v>
      </c>
      <c r="C977" s="2" t="str">
        <f>IFERROR(__xludf.DUMMYFUNCTION("""COMPUTED_VALUE"""),"Item")</f>
        <v>Item</v>
      </c>
      <c r="D977" s="2"/>
      <c r="E977" s="2"/>
      <c r="F977" s="2"/>
      <c r="G977" s="2"/>
      <c r="H977" s="2"/>
      <c r="I977" s="2"/>
      <c r="J977" s="2"/>
      <c r="K977" s="2"/>
      <c r="L977" s="2"/>
      <c r="M977" s="2"/>
      <c r="N977" s="2"/>
      <c r="O977" s="2"/>
      <c r="P977" s="2"/>
      <c r="Q977" s="2"/>
      <c r="R977" s="2"/>
      <c r="S977" s="2"/>
      <c r="T977" s="2"/>
      <c r="U977" s="2"/>
      <c r="V977" s="2"/>
      <c r="W977" s="2"/>
      <c r="X977" s="2"/>
      <c r="Y977" s="2"/>
      <c r="Z977" s="2"/>
    </row>
    <row r="978">
      <c r="A978" s="2" t="str">
        <f>IFERROR(__xludf.DUMMYFUNCTION("""COMPUTED_VALUE"""),"Broken pistol")</f>
        <v>Broken pistol</v>
      </c>
      <c r="B978" s="2" t="str">
        <f>IFERROR(__xludf.DUMMYFUNCTION("""COMPUTED_VALUE"""),"Crafting Material, roll a d20 to see how many you get if this is a loot drop.")</f>
        <v>Crafting Material, roll a d20 to see how many you get if this is a loot drop.</v>
      </c>
      <c r="C978" s="2" t="str">
        <f>IFERROR(__xludf.DUMMYFUNCTION("""COMPUTED_VALUE"""),"Item")</f>
        <v>Item</v>
      </c>
      <c r="D978" s="2"/>
      <c r="E978" s="2"/>
      <c r="F978" s="2"/>
      <c r="G978" s="2"/>
      <c r="H978" s="2"/>
      <c r="I978" s="2"/>
      <c r="J978" s="2"/>
      <c r="K978" s="2"/>
      <c r="L978" s="2"/>
      <c r="M978" s="2"/>
      <c r="N978" s="2"/>
      <c r="O978" s="2"/>
      <c r="P978" s="2"/>
      <c r="Q978" s="2"/>
      <c r="R978" s="2"/>
      <c r="S978" s="2"/>
      <c r="T978" s="2"/>
      <c r="U978" s="2"/>
      <c r="V978" s="2"/>
      <c r="W978" s="2"/>
      <c r="X978" s="2"/>
      <c r="Y978" s="2"/>
      <c r="Z978" s="2"/>
    </row>
    <row r="979">
      <c r="A979" s="2" t="str">
        <f>IFERROR(__xludf.DUMMYFUNCTION("""COMPUTED_VALUE"""),"Cannon Ball")</f>
        <v>Cannon Ball</v>
      </c>
      <c r="B979" s="2" t="str">
        <f>IFERROR(__xludf.DUMMYFUNCTION("""COMPUTED_VALUE"""),"Cannon Ammunition, +1000 damage. roll a d20 to see how many you get if this is a loot drop.")</f>
        <v>Cannon Ammunition, +1000 damage. roll a d20 to see how many you get if this is a loot drop.</v>
      </c>
      <c r="C979" s="2" t="str">
        <f>IFERROR(__xludf.DUMMYFUNCTION("""COMPUTED_VALUE"""),"Item")</f>
        <v>Item</v>
      </c>
      <c r="D979" s="2"/>
      <c r="E979" s="2"/>
      <c r="F979" s="2"/>
      <c r="G979" s="2"/>
      <c r="H979" s="2"/>
      <c r="I979" s="2"/>
      <c r="J979" s="2"/>
      <c r="K979" s="2"/>
      <c r="L979" s="2"/>
      <c r="M979" s="2"/>
      <c r="N979" s="2"/>
      <c r="O979" s="2"/>
      <c r="P979" s="2"/>
      <c r="Q979" s="2"/>
      <c r="R979" s="2"/>
      <c r="S979" s="2"/>
      <c r="T979" s="2"/>
      <c r="U979" s="2"/>
      <c r="V979" s="2"/>
      <c r="W979" s="2"/>
      <c r="X979" s="2"/>
      <c r="Y979" s="2"/>
      <c r="Z979" s="2"/>
    </row>
    <row r="980">
      <c r="A980" s="2" t="str">
        <f>IFERROR(__xludf.DUMMYFUNCTION("""COMPUTED_VALUE"""),"Blank Book")</f>
        <v>Blank Book</v>
      </c>
      <c r="B980" s="2" t="str">
        <f>IFERROR(__xludf.DUMMYFUNCTION("""COMPUTED_VALUE"""),"Crafting Material, roll a d20 to see how many you get.")</f>
        <v>Crafting Material, roll a d20 to see how many you get.</v>
      </c>
      <c r="C980" s="2" t="str">
        <f>IFERROR(__xludf.DUMMYFUNCTION("""COMPUTED_VALUE"""),"Item")</f>
        <v>Item</v>
      </c>
      <c r="D980" s="2"/>
      <c r="E980" s="2"/>
      <c r="F980" s="2"/>
      <c r="G980" s="2"/>
      <c r="H980" s="2"/>
      <c r="I980" s="2"/>
      <c r="J980" s="2"/>
      <c r="K980" s="2"/>
      <c r="L980" s="2"/>
      <c r="M980" s="2"/>
      <c r="N980" s="2"/>
      <c r="O980" s="2"/>
      <c r="P980" s="2"/>
      <c r="Q980" s="2"/>
      <c r="R980" s="2"/>
      <c r="S980" s="2"/>
      <c r="T980" s="2"/>
      <c r="U980" s="2"/>
      <c r="V980" s="2"/>
      <c r="W980" s="2"/>
      <c r="X980" s="2"/>
      <c r="Y980" s="2"/>
      <c r="Z980" s="2"/>
    </row>
    <row r="981">
      <c r="A981" s="2" t="str">
        <f>IFERROR(__xludf.DUMMYFUNCTION("""COMPUTED_VALUE"""),"Bronze")</f>
        <v>Bronze</v>
      </c>
      <c r="B981" s="2" t="str">
        <f>IFERROR(__xludf.DUMMYFUNCTION("""COMPUTED_VALUE"""),"Crafting Material, roll a d20 to see how many you get.")</f>
        <v>Crafting Material, roll a d20 to see how many you get.</v>
      </c>
      <c r="C981" s="2" t="str">
        <f>IFERROR(__xludf.DUMMYFUNCTION("""COMPUTED_VALUE"""),"Item")</f>
        <v>Item</v>
      </c>
      <c r="D981" s="2"/>
      <c r="E981" s="2"/>
      <c r="F981" s="2"/>
      <c r="G981" s="2"/>
      <c r="H981" s="2"/>
      <c r="I981" s="2"/>
      <c r="J981" s="2"/>
      <c r="K981" s="2"/>
      <c r="L981" s="2"/>
      <c r="M981" s="2"/>
      <c r="N981" s="2"/>
      <c r="O981" s="2"/>
      <c r="P981" s="2"/>
      <c r="Q981" s="2"/>
      <c r="R981" s="2"/>
      <c r="S981" s="2"/>
      <c r="T981" s="2"/>
      <c r="U981" s="2"/>
      <c r="V981" s="2"/>
      <c r="W981" s="2"/>
      <c r="X981" s="2"/>
      <c r="Y981" s="2"/>
      <c r="Z981" s="2"/>
    </row>
    <row r="982">
      <c r="A982" s="2" t="str">
        <f>IFERROR(__xludf.DUMMYFUNCTION("""COMPUTED_VALUE"""),"Diamond")</f>
        <v>Diamond</v>
      </c>
      <c r="B982" s="2" t="str">
        <f>IFERROR(__xludf.DUMMYFUNCTION("""COMPUTED_VALUE"""),"Crafting Material, roll a d20 to see how many you get.")</f>
        <v>Crafting Material, roll a d20 to see how many you get.</v>
      </c>
      <c r="C982" s="2" t="str">
        <f>IFERROR(__xludf.DUMMYFUNCTION("""COMPUTED_VALUE"""),"Item")</f>
        <v>Item</v>
      </c>
      <c r="D982" s="2"/>
      <c r="E982" s="2"/>
      <c r="F982" s="2"/>
      <c r="G982" s="2"/>
      <c r="H982" s="2"/>
      <c r="I982" s="2"/>
      <c r="J982" s="2"/>
      <c r="K982" s="2"/>
      <c r="L982" s="2"/>
      <c r="M982" s="2"/>
      <c r="N982" s="2"/>
      <c r="O982" s="2"/>
      <c r="P982" s="2"/>
      <c r="Q982" s="2"/>
      <c r="R982" s="2"/>
      <c r="S982" s="2"/>
      <c r="T982" s="2"/>
      <c r="U982" s="2"/>
      <c r="V982" s="2"/>
      <c r="W982" s="2"/>
      <c r="X982" s="2"/>
      <c r="Y982" s="2"/>
      <c r="Z982" s="2"/>
    </row>
    <row r="983">
      <c r="A983" s="2" t="str">
        <f>IFERROR(__xludf.DUMMYFUNCTION("""COMPUTED_VALUE"""),"Wood")</f>
        <v>Wood</v>
      </c>
      <c r="B983" s="2" t="str">
        <f>IFERROR(__xludf.DUMMYFUNCTION("""COMPUTED_VALUE"""),"Crafting Material, roll a d20 to see how many you get.")</f>
        <v>Crafting Material, roll a d20 to see how many you get.</v>
      </c>
      <c r="C983" s="2" t="str">
        <f>IFERROR(__xludf.DUMMYFUNCTION("""COMPUTED_VALUE"""),"Item")</f>
        <v>Item</v>
      </c>
      <c r="D983" s="2"/>
      <c r="E983" s="2"/>
      <c r="F983" s="2"/>
      <c r="G983" s="2"/>
      <c r="H983" s="2"/>
      <c r="I983" s="2"/>
      <c r="J983" s="2"/>
      <c r="K983" s="2"/>
      <c r="L983" s="2"/>
      <c r="M983" s="2"/>
      <c r="N983" s="2"/>
      <c r="O983" s="2"/>
      <c r="P983" s="2"/>
      <c r="Q983" s="2"/>
      <c r="R983" s="2"/>
      <c r="S983" s="2"/>
      <c r="T983" s="2"/>
      <c r="U983" s="2"/>
      <c r="V983" s="2"/>
      <c r="W983" s="2"/>
      <c r="X983" s="2"/>
      <c r="Y983" s="2"/>
      <c r="Z983" s="2"/>
    </row>
    <row r="984">
      <c r="A984" s="2" t="str">
        <f>IFERROR(__xludf.DUMMYFUNCTION("""COMPUTED_VALUE"""),"Stone")</f>
        <v>Stone</v>
      </c>
      <c r="B984" s="2" t="str">
        <f>IFERROR(__xludf.DUMMYFUNCTION("""COMPUTED_VALUE"""),"Crafting Material, roll a d20 to see how many you get.")</f>
        <v>Crafting Material, roll a d20 to see how many you get.</v>
      </c>
      <c r="C984" s="2" t="str">
        <f>IFERROR(__xludf.DUMMYFUNCTION("""COMPUTED_VALUE"""),"Item")</f>
        <v>Item</v>
      </c>
      <c r="D984" s="2"/>
      <c r="E984" s="2"/>
      <c r="F984" s="2"/>
      <c r="G984" s="2"/>
      <c r="H984" s="2"/>
      <c r="I984" s="2"/>
      <c r="J984" s="2"/>
      <c r="K984" s="2"/>
      <c r="L984" s="2"/>
      <c r="M984" s="2"/>
      <c r="N984" s="2"/>
      <c r="O984" s="2"/>
      <c r="P984" s="2"/>
      <c r="Q984" s="2"/>
      <c r="R984" s="2"/>
      <c r="S984" s="2"/>
      <c r="T984" s="2"/>
      <c r="U984" s="2"/>
      <c r="V984" s="2"/>
      <c r="W984" s="2"/>
      <c r="X984" s="2"/>
      <c r="Y984" s="2"/>
      <c r="Z984" s="2"/>
    </row>
    <row r="985">
      <c r="A985" s="2" t="str">
        <f>IFERROR(__xludf.DUMMYFUNCTION("""COMPUTED_VALUE"""),"Raw Meat")</f>
        <v>Raw Meat</v>
      </c>
      <c r="B985" s="2" t="str">
        <f>IFERROR(__xludf.DUMMYFUNCTION("""COMPUTED_VALUE"""),"-100 Hunger")</f>
        <v>-100 Hunger</v>
      </c>
      <c r="C985" s="2" t="str">
        <f>IFERROR(__xludf.DUMMYFUNCTION("""COMPUTED_VALUE"""),"Crop")</f>
        <v>Crop</v>
      </c>
      <c r="D985" s="2"/>
      <c r="E985" s="2"/>
      <c r="F985" s="2"/>
      <c r="G985" s="2"/>
      <c r="H985" s="2"/>
      <c r="I985" s="2"/>
      <c r="J985" s="2"/>
      <c r="K985" s="2"/>
      <c r="L985" s="2"/>
      <c r="M985" s="2"/>
      <c r="N985" s="2"/>
      <c r="O985" s="2"/>
      <c r="P985" s="2"/>
      <c r="Q985" s="2"/>
      <c r="R985" s="2"/>
      <c r="S985" s="2"/>
      <c r="T985" s="2"/>
      <c r="U985" s="2"/>
      <c r="V985" s="2"/>
      <c r="W985" s="2"/>
      <c r="X985" s="2"/>
      <c r="Y985" s="2"/>
      <c r="Z985" s="2"/>
    </row>
    <row r="986">
      <c r="A986" s="2" t="str">
        <f>IFERROR(__xludf.DUMMYFUNCTION("""COMPUTED_VALUE"""),"Cooked Meat")</f>
        <v>Cooked Meat</v>
      </c>
      <c r="B986" s="2" t="str">
        <f>IFERROR(__xludf.DUMMYFUNCTION("""COMPUTED_VALUE"""),"Restores 35 Hunger")</f>
        <v>Restores 35 Hunger</v>
      </c>
      <c r="C986" s="2" t="str">
        <f>IFERROR(__xludf.DUMMYFUNCTION("""COMPUTED_VALUE"""),"Crop")</f>
        <v>Crop</v>
      </c>
      <c r="D986" s="2"/>
      <c r="E986" s="2"/>
      <c r="F986" s="2"/>
      <c r="G986" s="2"/>
      <c r="H986" s="2"/>
      <c r="I986" s="2"/>
      <c r="J986" s="2"/>
      <c r="K986" s="2"/>
      <c r="L986" s="2"/>
      <c r="M986" s="2"/>
      <c r="N986" s="2"/>
      <c r="O986" s="2"/>
      <c r="P986" s="2"/>
      <c r="Q986" s="2"/>
      <c r="R986" s="2"/>
      <c r="S986" s="2"/>
      <c r="T986" s="2"/>
      <c r="U986" s="2"/>
      <c r="V986" s="2"/>
      <c r="W986" s="2"/>
      <c r="X986" s="2"/>
      <c r="Y986" s="2"/>
      <c r="Z986" s="2"/>
    </row>
    <row r="987">
      <c r="A987" s="2" t="str">
        <f>IFERROR(__xludf.DUMMYFUNCTION("""COMPUTED_VALUE"""),"Dried Meat")</f>
        <v>Dried Meat</v>
      </c>
      <c r="B987" s="2" t="str">
        <f>IFERROR(__xludf.DUMMYFUNCTION("""COMPUTED_VALUE"""),"25 Hunger")</f>
        <v>25 Hunger</v>
      </c>
      <c r="C987" s="2" t="str">
        <f>IFERROR(__xludf.DUMMYFUNCTION("""COMPUTED_VALUE"""),"Crop")</f>
        <v>Crop</v>
      </c>
      <c r="D987" s="2"/>
      <c r="E987" s="2"/>
      <c r="F987" s="2"/>
      <c r="G987" s="2"/>
      <c r="H987" s="2"/>
      <c r="I987" s="2"/>
      <c r="J987" s="2"/>
      <c r="K987" s="2"/>
      <c r="L987" s="2"/>
      <c r="M987" s="2"/>
      <c r="N987" s="2"/>
      <c r="O987" s="2"/>
      <c r="P987" s="2"/>
      <c r="Q987" s="2"/>
      <c r="R987" s="2"/>
      <c r="S987" s="2"/>
      <c r="T987" s="2"/>
      <c r="U987" s="2"/>
      <c r="V987" s="2"/>
      <c r="W987" s="2"/>
      <c r="X987" s="2"/>
      <c r="Y987" s="2"/>
      <c r="Z987" s="2"/>
    </row>
    <row r="988">
      <c r="A988" s="2" t="str">
        <f>IFERROR(__xludf.DUMMYFUNCTION("""COMPUTED_VALUE"""),"Medium Rare Steak")</f>
        <v>Medium Rare Steak</v>
      </c>
      <c r="B988" s="2" t="str">
        <f>IFERROR(__xludf.DUMMYFUNCTION("""COMPUTED_VALUE"""),"Restores 30 Hunger and 5 HP")</f>
        <v>Restores 30 Hunger and 5 HP</v>
      </c>
      <c r="C988" s="2" t="str">
        <f>IFERROR(__xludf.DUMMYFUNCTION("""COMPUTED_VALUE"""),"Crop")</f>
        <v>Crop</v>
      </c>
      <c r="D988" s="2"/>
      <c r="E988" s="2"/>
      <c r="F988" s="2"/>
      <c r="G988" s="2"/>
      <c r="H988" s="2"/>
      <c r="I988" s="2"/>
      <c r="J988" s="2"/>
      <c r="K988" s="2"/>
      <c r="L988" s="2"/>
      <c r="M988" s="2"/>
      <c r="N988" s="2"/>
      <c r="O988" s="2"/>
      <c r="P988" s="2"/>
      <c r="Q988" s="2"/>
      <c r="R988" s="2"/>
      <c r="S988" s="2"/>
      <c r="T988" s="2"/>
      <c r="U988" s="2"/>
      <c r="V988" s="2"/>
      <c r="W988" s="2"/>
      <c r="X988" s="2"/>
      <c r="Y988" s="2"/>
      <c r="Z988" s="2"/>
    </row>
    <row r="989">
      <c r="A989" s="2" t="str">
        <f>IFERROR(__xludf.DUMMYFUNCTION("""COMPUTED_VALUE"""),"Well Done Steak")</f>
        <v>Well Done Steak</v>
      </c>
      <c r="B989" s="2" t="str">
        <f>IFERROR(__xludf.DUMMYFUNCTION("""COMPUTED_VALUE"""),"10 Hunger and 3 HP are restored each turn for the next three turns")</f>
        <v>10 Hunger and 3 HP are restored each turn for the next three turns</v>
      </c>
      <c r="C989" s="2" t="str">
        <f>IFERROR(__xludf.DUMMYFUNCTION("""COMPUTED_VALUE"""),"Crop")</f>
        <v>Crop</v>
      </c>
      <c r="D989" s="2"/>
      <c r="E989" s="2"/>
      <c r="F989" s="2"/>
      <c r="G989" s="2"/>
      <c r="H989" s="2"/>
      <c r="I989" s="2"/>
      <c r="J989" s="2"/>
      <c r="K989" s="2"/>
      <c r="L989" s="2"/>
      <c r="M989" s="2"/>
      <c r="N989" s="2"/>
      <c r="O989" s="2"/>
      <c r="P989" s="2"/>
      <c r="Q989" s="2"/>
      <c r="R989" s="2"/>
      <c r="S989" s="2"/>
      <c r="T989" s="2"/>
      <c r="U989" s="2"/>
      <c r="V989" s="2"/>
      <c r="W989" s="2"/>
      <c r="X989" s="2"/>
      <c r="Y989" s="2"/>
      <c r="Z989" s="2"/>
    </row>
    <row r="990">
      <c r="A990" s="2" t="str">
        <f>IFERROR(__xludf.DUMMYFUNCTION("""COMPUTED_VALUE"""),"Kebab")</f>
        <v>Kebab</v>
      </c>
      <c r="B990" s="2" t="str">
        <f>IFERROR(__xludf.DUMMYFUNCTION("""COMPUTED_VALUE"""),"Restores 10 Hunger, 5 HP, and 15 SP")</f>
        <v>Restores 10 Hunger, 5 HP, and 15 SP</v>
      </c>
      <c r="C990" s="2" t="str">
        <f>IFERROR(__xludf.DUMMYFUNCTION("""COMPUTED_VALUE"""),"Crop")</f>
        <v>Crop</v>
      </c>
      <c r="D990" s="2"/>
      <c r="E990" s="2"/>
      <c r="F990" s="2"/>
      <c r="G990" s="2"/>
      <c r="H990" s="2"/>
      <c r="I990" s="2"/>
      <c r="J990" s="2"/>
      <c r="K990" s="2"/>
      <c r="L990" s="2"/>
      <c r="M990" s="2"/>
      <c r="N990" s="2"/>
      <c r="O990" s="2"/>
      <c r="P990" s="2"/>
      <c r="Q990" s="2"/>
      <c r="R990" s="2"/>
      <c r="S990" s="2"/>
      <c r="T990" s="2"/>
      <c r="U990" s="2"/>
      <c r="V990" s="2"/>
      <c r="W990" s="2"/>
      <c r="X990" s="2"/>
      <c r="Y990" s="2"/>
      <c r="Z990" s="2"/>
    </row>
    <row r="991">
      <c r="A991" s="2" t="str">
        <f>IFERROR(__xludf.DUMMYFUNCTION("""COMPUTED_VALUE"""),"Melon Bread")</f>
        <v>Melon Bread</v>
      </c>
      <c r="B991" s="2" t="str">
        <f>IFERROR(__xludf.DUMMYFUNCTION("""COMPUTED_VALUE"""),"15 Hunger")</f>
        <v>15 Hunger</v>
      </c>
      <c r="C991" s="2" t="str">
        <f>IFERROR(__xludf.DUMMYFUNCTION("""COMPUTED_VALUE"""),"Crop")</f>
        <v>Crop</v>
      </c>
      <c r="D991" s="2"/>
      <c r="E991" s="2"/>
      <c r="F991" s="2"/>
      <c r="G991" s="2"/>
      <c r="H991" s="2"/>
      <c r="I991" s="2"/>
      <c r="J991" s="2"/>
      <c r="K991" s="2"/>
      <c r="L991" s="2"/>
      <c r="M991" s="2"/>
      <c r="N991" s="2"/>
      <c r="O991" s="2"/>
      <c r="P991" s="2"/>
      <c r="Q991" s="2"/>
      <c r="R991" s="2"/>
      <c r="S991" s="2"/>
      <c r="T991" s="2"/>
      <c r="U991" s="2"/>
      <c r="V991" s="2"/>
      <c r="W991" s="2"/>
      <c r="X991" s="2"/>
      <c r="Y991" s="2"/>
      <c r="Z991" s="2"/>
    </row>
    <row r="992">
      <c r="A992" s="2" t="str">
        <f>IFERROR(__xludf.DUMMYFUNCTION("""COMPUTED_VALUE"""),"Cake")</f>
        <v>Cake</v>
      </c>
      <c r="B992" s="2" t="str">
        <f>IFERROR(__xludf.DUMMYFUNCTION("""COMPUTED_VALUE"""),"8 uses, each use restores 20 Hunger")</f>
        <v>8 uses, each use restores 20 Hunger</v>
      </c>
      <c r="C992" s="2" t="str">
        <f>IFERROR(__xludf.DUMMYFUNCTION("""COMPUTED_VALUE"""),"Crop")</f>
        <v>Crop</v>
      </c>
      <c r="D992" s="2"/>
      <c r="E992" s="2"/>
      <c r="F992" s="2"/>
      <c r="G992" s="2"/>
      <c r="H992" s="2"/>
      <c r="I992" s="2"/>
      <c r="J992" s="2"/>
      <c r="K992" s="2"/>
      <c r="L992" s="2"/>
      <c r="M992" s="2"/>
      <c r="N992" s="2"/>
      <c r="O992" s="2"/>
      <c r="P992" s="2"/>
      <c r="Q992" s="2"/>
      <c r="R992" s="2"/>
      <c r="S992" s="2"/>
      <c r="T992" s="2"/>
      <c r="U992" s="2"/>
      <c r="V992" s="2"/>
      <c r="W992" s="2"/>
      <c r="X992" s="2"/>
      <c r="Y992" s="2"/>
      <c r="Z992" s="2"/>
    </row>
    <row r="993">
      <c r="A993" s="2" t="str">
        <f>IFERROR(__xludf.DUMMYFUNCTION("""COMPUTED_VALUE"""),"Cherry Pie")</f>
        <v>Cherry Pie</v>
      </c>
      <c r="B993" s="2" t="str">
        <f>IFERROR(__xludf.DUMMYFUNCTION("""COMPUTED_VALUE"""),"4 uses, restores 20 Hunger, 10 HP, and 5 SP with each use")</f>
        <v>4 uses, restores 20 Hunger, 10 HP, and 5 SP with each use</v>
      </c>
      <c r="C993" s="2" t="str">
        <f>IFERROR(__xludf.DUMMYFUNCTION("""COMPUTED_VALUE"""),"Crop")</f>
        <v>Crop</v>
      </c>
      <c r="D993" s="2"/>
      <c r="E993" s="2"/>
      <c r="F993" s="2"/>
      <c r="G993" s="2"/>
      <c r="H993" s="2"/>
      <c r="I993" s="2"/>
      <c r="J993" s="2"/>
      <c r="K993" s="2"/>
      <c r="L993" s="2"/>
      <c r="M993" s="2"/>
      <c r="N993" s="2"/>
      <c r="O993" s="2"/>
      <c r="P993" s="2"/>
      <c r="Q993" s="2"/>
      <c r="R993" s="2"/>
      <c r="S993" s="2"/>
      <c r="T993" s="2"/>
      <c r="U993" s="2"/>
      <c r="V993" s="2"/>
      <c r="W993" s="2"/>
      <c r="X993" s="2"/>
      <c r="Y993" s="2"/>
      <c r="Z993" s="2"/>
    </row>
    <row r="994">
      <c r="A994" s="2" t="str">
        <f>IFERROR(__xludf.DUMMYFUNCTION("""COMPUTED_VALUE"""),"Saltwater")</f>
        <v>Saltwater</v>
      </c>
      <c r="B994" s="2" t="str">
        <f>IFERROR(__xludf.DUMMYFUNCTION("""COMPUTED_VALUE"""),"Crafting Material, roll a d20 to see how many you get if this is a loot drop.")</f>
        <v>Crafting Material, roll a d20 to see how many you get if this is a loot drop.</v>
      </c>
      <c r="C994" s="2" t="str">
        <f>IFERROR(__xludf.DUMMYFUNCTION("""COMPUTED_VALUE"""),"Item")</f>
        <v>Item</v>
      </c>
      <c r="D994" s="2"/>
      <c r="E994" s="2"/>
      <c r="F994" s="2"/>
      <c r="G994" s="2"/>
      <c r="H994" s="2"/>
      <c r="I994" s="2"/>
      <c r="J994" s="2"/>
      <c r="K994" s="2"/>
      <c r="L994" s="2"/>
      <c r="M994" s="2"/>
      <c r="N994" s="2"/>
      <c r="O994" s="2"/>
      <c r="P994" s="2"/>
      <c r="Q994" s="2"/>
      <c r="R994" s="2"/>
      <c r="S994" s="2"/>
      <c r="T994" s="2"/>
      <c r="U994" s="2"/>
      <c r="V994" s="2"/>
      <c r="W994" s="2"/>
      <c r="X994" s="2"/>
      <c r="Y994" s="2"/>
      <c r="Z994" s="2"/>
    </row>
    <row r="995">
      <c r="A995" s="2" t="str">
        <f>IFERROR(__xludf.DUMMYFUNCTION("""COMPUTED_VALUE"""),"Fisherman’s Lucky Totem")</f>
        <v>Fisherman’s Lucky Totem</v>
      </c>
      <c r="B995" s="2" t="str">
        <f>IFERROR(__xludf.DUMMYFUNCTION("""COMPUTED_VALUE"""),"This will Guarantee you 1 fish from a quest")</f>
        <v>This will Guarantee you 1 fish from a quest</v>
      </c>
      <c r="C995" s="2" t="str">
        <f>IFERROR(__xludf.DUMMYFUNCTION("""COMPUTED_VALUE"""),"Item")</f>
        <v>Item</v>
      </c>
      <c r="D995" s="2"/>
      <c r="E995" s="2"/>
      <c r="F995" s="2"/>
      <c r="G995" s="2"/>
      <c r="H995" s="2"/>
      <c r="I995" s="2"/>
      <c r="J995" s="2"/>
      <c r="K995" s="2"/>
      <c r="L995" s="2"/>
      <c r="M995" s="2"/>
      <c r="N995" s="2"/>
      <c r="O995" s="2"/>
      <c r="P995" s="2"/>
      <c r="Q995" s="2"/>
      <c r="R995" s="2"/>
      <c r="S995" s="2"/>
      <c r="T995" s="2"/>
      <c r="U995" s="2"/>
      <c r="V995" s="2"/>
      <c r="W995" s="2"/>
      <c r="X995" s="2"/>
      <c r="Y995" s="2"/>
      <c r="Z995" s="2"/>
    </row>
    <row r="996">
      <c r="A996" s="2" t="str">
        <f>IFERROR(__xludf.DUMMYFUNCTION("""COMPUTED_VALUE"""),"The Fish Pendant")</f>
        <v>The Fish Pendant</v>
      </c>
      <c r="B996" s="2" t="str">
        <f>IFERROR(__xludf.DUMMYFUNCTION("""COMPUTED_VALUE"""),"Choose the rarity of the fish when fishing during a quest.")</f>
        <v>Choose the rarity of the fish when fishing during a quest.</v>
      </c>
      <c r="C996" s="2" t="str">
        <f>IFERROR(__xludf.DUMMYFUNCTION("""COMPUTED_VALUE"""),"Item")</f>
        <v>Item</v>
      </c>
      <c r="D996" s="2"/>
      <c r="E996" s="2"/>
      <c r="F996" s="2"/>
      <c r="G996" s="2"/>
      <c r="H996" s="2"/>
      <c r="I996" s="2"/>
      <c r="J996" s="2"/>
      <c r="K996" s="2"/>
      <c r="L996" s="2"/>
      <c r="M996" s="2"/>
      <c r="N996" s="2"/>
      <c r="O996" s="2"/>
      <c r="P996" s="2"/>
      <c r="Q996" s="2"/>
      <c r="R996" s="2"/>
      <c r="S996" s="2"/>
      <c r="T996" s="2"/>
      <c r="U996" s="2"/>
      <c r="V996" s="2"/>
      <c r="W996" s="2"/>
      <c r="X996" s="2"/>
      <c r="Y996" s="2"/>
      <c r="Z996" s="2"/>
    </row>
    <row r="997">
      <c r="A997" s="2" t="str">
        <f>IFERROR(__xludf.DUMMYFUNCTION("""COMPUTED_VALUE"""),"Fish Stone")</f>
        <v>Fish Stone</v>
      </c>
      <c r="B997" s="2" t="str">
        <f>IFERROR(__xludf.DUMMYFUNCTION("""COMPUTED_VALUE"""),"if you catch this when fishing you get 2 of the fish you caught with this item.")</f>
        <v>if you catch this when fishing you get 2 of the fish you caught with this item.</v>
      </c>
      <c r="C997" s="2" t="str">
        <f>IFERROR(__xludf.DUMMYFUNCTION("""COMPUTED_VALUE"""),"Item")</f>
        <v>Item</v>
      </c>
      <c r="D997" s="2"/>
      <c r="E997" s="2"/>
      <c r="F997" s="2"/>
      <c r="G997" s="2"/>
      <c r="H997" s="2"/>
      <c r="I997" s="2"/>
      <c r="J997" s="2"/>
      <c r="K997" s="2"/>
      <c r="L997" s="2"/>
      <c r="M997" s="2"/>
      <c r="N997" s="2"/>
      <c r="O997" s="2"/>
      <c r="P997" s="2"/>
      <c r="Q997" s="2"/>
      <c r="R997" s="2"/>
      <c r="S997" s="2"/>
      <c r="T997" s="2"/>
      <c r="U997" s="2"/>
      <c r="V997" s="2"/>
      <c r="W997" s="2"/>
      <c r="X997" s="2"/>
      <c r="Y997" s="2"/>
      <c r="Z997" s="2"/>
    </row>
    <row r="998">
      <c r="A998" s="2" t="str">
        <f>IFERROR(__xludf.DUMMYFUNCTION("""COMPUTED_VALUE"""),"Pumpkin")</f>
        <v>Pumpkin</v>
      </c>
      <c r="B998" s="2" t="str">
        <f>IFERROR(__xludf.DUMMYFUNCTION("""COMPUTED_VALUE"""),"100 hunger for self and up to 2 party members.")</f>
        <v>100 hunger for self and up to 2 party members.</v>
      </c>
      <c r="C998" s="2" t="str">
        <f>IFERROR(__xludf.DUMMYFUNCTION("""COMPUTED_VALUE"""),"Crop")</f>
        <v>Crop</v>
      </c>
      <c r="D998" s="2"/>
      <c r="E998" s="2"/>
      <c r="F998" s="2"/>
      <c r="G998" s="2"/>
      <c r="H998" s="2"/>
      <c r="I998" s="2"/>
      <c r="J998" s="2"/>
      <c r="K998" s="2"/>
      <c r="L998" s="2"/>
      <c r="M998" s="2"/>
      <c r="N998" s="2"/>
      <c r="O998" s="2"/>
      <c r="P998" s="2"/>
      <c r="Q998" s="2"/>
      <c r="R998" s="2"/>
      <c r="S998" s="2"/>
      <c r="T998" s="2"/>
      <c r="U998" s="2"/>
      <c r="V998" s="2"/>
      <c r="W998" s="2"/>
      <c r="X998" s="2"/>
      <c r="Y998" s="2"/>
      <c r="Z998" s="2"/>
    </row>
    <row r="999">
      <c r="A999" s="2" t="str">
        <f>IFERROR(__xludf.DUMMYFUNCTION("""COMPUTED_VALUE"""),"Premium Pumpkin")</f>
        <v>Premium Pumpkin</v>
      </c>
      <c r="B999" s="2" t="str">
        <f>IFERROR(__xludf.DUMMYFUNCTION("""COMPUTED_VALUE"""),"200 hunger for self and up to 2 party members.")</f>
        <v>200 hunger for self and up to 2 party members.</v>
      </c>
      <c r="C999" s="2" t="str">
        <f>IFERROR(__xludf.DUMMYFUNCTION("""COMPUTED_VALUE"""),"Crop")</f>
        <v>Crop</v>
      </c>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t="str">
        <f>IFERROR(__xludf.DUMMYFUNCTION("""COMPUTED_VALUE"""),"Pumpkin Soup")</f>
        <v>Pumpkin Soup</v>
      </c>
      <c r="B1000" s="2" t="str">
        <f>IFERROR(__xludf.DUMMYFUNCTION("""COMPUTED_VALUE"""),"100 hunger for self and up to 4 party members.")</f>
        <v>100 hunger for self and up to 4 party members.</v>
      </c>
      <c r="C1000" s="2" t="str">
        <f>IFERROR(__xludf.DUMMYFUNCTION("""COMPUTED_VALUE"""),"Crop")</f>
        <v>Crop</v>
      </c>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t="str">
        <f>IFERROR(__xludf.DUMMYFUNCTION("""COMPUTED_VALUE"""),"Premium Pumpkin Soup")</f>
        <v>Premium Pumpkin Soup</v>
      </c>
      <c r="B1001" s="2" t="str">
        <f>IFERROR(__xludf.DUMMYFUNCTION("""COMPUTED_VALUE"""),"200 hunger for self and up to 4 party members.")</f>
        <v>200 hunger for self and up to 4 party members.</v>
      </c>
      <c r="C1001" s="2" t="str">
        <f>IFERROR(__xludf.DUMMYFUNCTION("""COMPUTED_VALUE"""),"Crop")</f>
        <v>Crop</v>
      </c>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t="str">
        <f>IFERROR(__xludf.DUMMYFUNCTION("""COMPUTED_VALUE"""),"Forbidden Book")</f>
        <v>Forbidden Book</v>
      </c>
      <c r="B1002" s="2" t="str">
        <f>IFERROR(__xludf.DUMMYFUNCTION("""COMPUTED_VALUE"""),"A forbidden book. if the guards see it in your inventory they will autmatically confiscate it and arrest you.")</f>
        <v>A forbidden book. if the guards see it in your inventory they will autmatically confiscate it and arrest you.</v>
      </c>
      <c r="C1002" s="2" t="str">
        <f>IFERROR(__xludf.DUMMYFUNCTION("""COMPUTED_VALUE"""),"Item")</f>
        <v>Item</v>
      </c>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t="str">
        <f>IFERROR(__xludf.DUMMYFUNCTION("""COMPUTED_VALUE"""),"a random stick")</f>
        <v>a random stick</v>
      </c>
      <c r="B1003" s="2" t="str">
        <f>IFERROR(__xludf.DUMMYFUNCTION("""COMPUTED_VALUE"""),"A random stick the shopkeeper found out back")</f>
        <v>A random stick the shopkeeper found out back</v>
      </c>
      <c r="C1003" s="2" t="str">
        <f>IFERROR(__xludf.DUMMYFUNCTION("""COMPUTED_VALUE"""),"Item")</f>
        <v>Item</v>
      </c>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t="str">
        <f>IFERROR(__xludf.DUMMYFUNCTION("""COMPUTED_VALUE"""),"Rank 9 Storm Tome")</f>
        <v>Rank 9 Storm Tome</v>
      </c>
      <c r="B1004" s="2" t="str">
        <f>IFERROR(__xludf.DUMMYFUNCTION("""COMPUTED_VALUE"""),"Can use up to Rank 9 Storm Spells")</f>
        <v>Can use up to Rank 9 Storm Spells</v>
      </c>
      <c r="C1004" s="2" t="str">
        <f>IFERROR(__xludf.DUMMYFUNCTION("""COMPUTED_VALUE"""),"Item")</f>
        <v>Item</v>
      </c>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t="str">
        <f>IFERROR(__xludf.DUMMYFUNCTION("""COMPUTED_VALUE"""),"Common Tree Branch")</f>
        <v>Common Tree Branch</v>
      </c>
      <c r="B1005" s="2" t="str">
        <f>IFERROR(__xludf.DUMMYFUNCTION("""COMPUTED_VALUE"""),"When thrown, each enemy has a 25% chance to be distracted, skipping their next turn")</f>
        <v>When thrown, each enemy has a 25% chance to be distracted, skipping their next turn</v>
      </c>
      <c r="C1005" s="2" t="str">
        <f>IFERROR(__xludf.DUMMYFUNCTION("""COMPUTED_VALUE"""),"Item")</f>
        <v>Item</v>
      </c>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t="str">
        <f>IFERROR(__xludf.DUMMYFUNCTION("""COMPUTED_VALUE"""),"Uncommon Tree branch")</f>
        <v>Uncommon Tree branch</v>
      </c>
      <c r="B1006" s="2" t="str">
        <f>IFERROR(__xludf.DUMMYFUNCTION("""COMPUTED_VALUE"""),"When thrown, Roll a d20 and apply the result. If 1-19, deal 20,000 damage to one target Hit/Miss. If 20, deal 40,000 damage to one target Hit/Miss, each enemy has a 50% chance to be distracted, skipping their next turn.
")</f>
        <v>When thrown, Roll a d20 and apply the result. If 1-19, deal 20,000 damage to one target Hit/Miss. If 20, deal 40,000 damage to one target Hit/Miss, each enemy has a 50% chance to be distracted, skipping their next turn.
</v>
      </c>
      <c r="C1006" s="2" t="str">
        <f>IFERROR(__xludf.DUMMYFUNCTION("""COMPUTED_VALUE"""),"Item")</f>
        <v>Item</v>
      </c>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t="str">
        <f>IFERROR(__xludf.DUMMYFUNCTION("""COMPUTED_VALUE"""),"Stale bread")</f>
        <v>Stale bread</v>
      </c>
      <c r="B1007" s="2" t="str">
        <f>IFERROR(__xludf.DUMMYFUNCTION("""COMPUTED_VALUE"""),"Recovers 9 hunger")</f>
        <v>Recovers 9 hunger</v>
      </c>
      <c r="C1007" s="2" t="str">
        <f>IFERROR(__xludf.DUMMYFUNCTION("""COMPUTED_VALUE"""),"Crop")</f>
        <v>Crop</v>
      </c>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t="str">
        <f>IFERROR(__xludf.DUMMYFUNCTION("""COMPUTED_VALUE"""),"Coal")</f>
        <v>Coal</v>
      </c>
      <c r="B1008" s="2" t="str">
        <f>IFERROR(__xludf.DUMMYFUNCTION("""COMPUTED_VALUE"""),"Crafting Material, roll a d20 to see how many you get if this is a loot drop.")</f>
        <v>Crafting Material, roll a d20 to see how many you get if this is a loot drop.</v>
      </c>
      <c r="C1008" s="2" t="str">
        <f>IFERROR(__xludf.DUMMYFUNCTION("""COMPUTED_VALUE"""),"Item")</f>
        <v>Item</v>
      </c>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t="str">
        <f>IFERROR(__xludf.DUMMYFUNCTION("""COMPUTED_VALUE"""),"Red Coral Gem")</f>
        <v>Red Coral Gem</v>
      </c>
      <c r="B1009" s="2" t="str">
        <f>IFERROR(__xludf.DUMMYFUNCTION("""COMPUTED_VALUE"""),"500 Fire dmg or Resistance")</f>
        <v>500 Fire dmg or Resistance</v>
      </c>
      <c r="C1009" s="2" t="str">
        <f>IFERROR(__xludf.DUMMYFUNCTION("""COMPUTED_VALUE"""),"Item")</f>
        <v>Item</v>
      </c>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t="str">
        <f>IFERROR(__xludf.DUMMYFUNCTION("""COMPUTED_VALUE"""),"Blue Coral Gem")</f>
        <v>Blue Coral Gem</v>
      </c>
      <c r="B1010" s="2" t="str">
        <f>IFERROR(__xludf.DUMMYFUNCTION("""COMPUTED_VALUE"""),"500 Water dmg or Resistance")</f>
        <v>500 Water dmg or Resistance</v>
      </c>
      <c r="C1010" s="2" t="str">
        <f>IFERROR(__xludf.DUMMYFUNCTION("""COMPUTED_VALUE"""),"Item")</f>
        <v>Item</v>
      </c>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t="str">
        <f>IFERROR(__xludf.DUMMYFUNCTION("""COMPUTED_VALUE"""),"Yellow Coral Gem")</f>
        <v>Yellow Coral Gem</v>
      </c>
      <c r="B1011" s="2" t="str">
        <f>IFERROR(__xludf.DUMMYFUNCTION("""COMPUTED_VALUE"""),"500 Strom dmg or Resistance")</f>
        <v>500 Strom dmg or Resistance</v>
      </c>
      <c r="C1011" s="2" t="str">
        <f>IFERROR(__xludf.DUMMYFUNCTION("""COMPUTED_VALUE"""),"Item")</f>
        <v>Item</v>
      </c>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t="str">
        <f>IFERROR(__xludf.DUMMYFUNCTION("""COMPUTED_VALUE"""),"Green Coral Gem")</f>
        <v>Green Coral Gem</v>
      </c>
      <c r="B1012" s="2" t="str">
        <f>IFERROR(__xludf.DUMMYFUNCTION("""COMPUTED_VALUE"""),"500 nature dmg or Resistance")</f>
        <v>500 nature dmg or Resistance</v>
      </c>
      <c r="C1012" s="2" t="str">
        <f>IFERROR(__xludf.DUMMYFUNCTION("""COMPUTED_VALUE"""),"Item")</f>
        <v>Item</v>
      </c>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t="str">
        <f>IFERROR(__xludf.DUMMYFUNCTION("""COMPUTED_VALUE"""),"White Coral Gem")</f>
        <v>White Coral Gem</v>
      </c>
      <c r="B1013" s="2" t="str">
        <f>IFERROR(__xludf.DUMMYFUNCTION("""COMPUTED_VALUE"""),"500 Spirit dmg or Resistance")</f>
        <v>500 Spirit dmg or Resistance</v>
      </c>
      <c r="C1013" s="2" t="str">
        <f>IFERROR(__xludf.DUMMYFUNCTION("""COMPUTED_VALUE"""),"Item")</f>
        <v>Item</v>
      </c>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t="str">
        <f>IFERROR(__xludf.DUMMYFUNCTION("""COMPUTED_VALUE"""),"Black Coral Gem")</f>
        <v>Black Coral Gem</v>
      </c>
      <c r="B1014" s="2" t="str">
        <f>IFERROR(__xludf.DUMMYFUNCTION("""COMPUTED_VALUE"""),"500 Dark dmg or Resistance")</f>
        <v>500 Dark dmg or Resistance</v>
      </c>
      <c r="C1014" s="2" t="str">
        <f>IFERROR(__xludf.DUMMYFUNCTION("""COMPUTED_VALUE"""),"Item")</f>
        <v>Item</v>
      </c>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t="str">
        <f>IFERROR(__xludf.DUMMYFUNCTION("""COMPUTED_VALUE"""),"Pink Coral Gem")</f>
        <v>Pink Coral Gem</v>
      </c>
      <c r="B1015" s="2" t="str">
        <f>IFERROR(__xludf.DUMMYFUNCTION("""COMPUTED_VALUE"""),"500 dmg or resistance")</f>
        <v>500 dmg or resistance</v>
      </c>
      <c r="C1015" s="2" t="str">
        <f>IFERROR(__xludf.DUMMYFUNCTION("""COMPUTED_VALUE"""),"Item")</f>
        <v>Item</v>
      </c>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t="str">
        <f>IFERROR(__xludf.DUMMYFUNCTION("""COMPUTED_VALUE"""),"Coral")</f>
        <v>Coral</v>
      </c>
      <c r="B1016" s="2" t="str">
        <f>IFERROR(__xludf.DUMMYFUNCTION("""COMPUTED_VALUE"""),"Crafting Material, roll a d20 to see how many you get if this is a loot drop.")</f>
        <v>Crafting Material, roll a d20 to see how many you get if this is a loot drop.</v>
      </c>
      <c r="C1016" s="2" t="str">
        <f>IFERROR(__xludf.DUMMYFUNCTION("""COMPUTED_VALUE"""),"Item")</f>
        <v>Item</v>
      </c>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t="str">
        <f>IFERROR(__xludf.DUMMYFUNCTION("""COMPUTED_VALUE"""),"Ivory")</f>
        <v>Ivory</v>
      </c>
      <c r="B1017" s="2" t="str">
        <f>IFERROR(__xludf.DUMMYFUNCTION("""COMPUTED_VALUE"""),"Crafting Material, roll a d20 to see how many you get if this is a loot drop.")</f>
        <v>Crafting Material, roll a d20 to see how many you get if this is a loot drop.</v>
      </c>
      <c r="C1017" s="2" t="str">
        <f>IFERROR(__xludf.DUMMYFUNCTION("""COMPUTED_VALUE"""),"Item")</f>
        <v>Item</v>
      </c>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t="str">
        <f>IFERROR(__xludf.DUMMYFUNCTION("""COMPUTED_VALUE"""),"Onyx")</f>
        <v>Onyx</v>
      </c>
      <c r="B1018" s="2" t="str">
        <f>IFERROR(__xludf.DUMMYFUNCTION("""COMPUTED_VALUE"""),"Crafting Material, roll a d20 to see how many you get if this is a loot drop.")</f>
        <v>Crafting Material, roll a d20 to see how many you get if this is a loot drop.</v>
      </c>
      <c r="C1018" s="2" t="str">
        <f>IFERROR(__xludf.DUMMYFUNCTION("""COMPUTED_VALUE"""),"Item")</f>
        <v>Item</v>
      </c>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t="str">
        <f>IFERROR(__xludf.DUMMYFUNCTION("""COMPUTED_VALUE"""),"Jade")</f>
        <v>Jade</v>
      </c>
      <c r="B1019" s="2" t="str">
        <f>IFERROR(__xludf.DUMMYFUNCTION("""COMPUTED_VALUE"""),"Crafting Material, roll a d20 to see how many you get if this is a loot drop.")</f>
        <v>Crafting Material, roll a d20 to see how many you get if this is a loot drop.</v>
      </c>
      <c r="C1019" s="2" t="str">
        <f>IFERROR(__xludf.DUMMYFUNCTION("""COMPUTED_VALUE"""),"Item")</f>
        <v>Item</v>
      </c>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t="str">
        <f>IFERROR(__xludf.DUMMYFUNCTION("""COMPUTED_VALUE"""),"Emerald")</f>
        <v>Emerald</v>
      </c>
      <c r="B1020" s="2" t="str">
        <f>IFERROR(__xludf.DUMMYFUNCTION("""COMPUTED_VALUE"""),"Crafting Material, roll a d20 to see how many you get if this is a loot drop.")</f>
        <v>Crafting Material, roll a d20 to see how many you get if this is a loot drop.</v>
      </c>
      <c r="C1020" s="2" t="str">
        <f>IFERROR(__xludf.DUMMYFUNCTION("""COMPUTED_VALUE"""),"Item")</f>
        <v>Item</v>
      </c>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t="str">
        <f>IFERROR(__xludf.DUMMYFUNCTION("""COMPUTED_VALUE"""),"Ruby")</f>
        <v>Ruby</v>
      </c>
      <c r="B1021" s="2" t="str">
        <f>IFERROR(__xludf.DUMMYFUNCTION("""COMPUTED_VALUE"""),"Crafting Material, roll a d20 to see how many you get if this is a loot drop.")</f>
        <v>Crafting Material, roll a d20 to see how many you get if this is a loot drop.</v>
      </c>
      <c r="C1021" s="2" t="str">
        <f>IFERROR(__xludf.DUMMYFUNCTION("""COMPUTED_VALUE"""),"Item")</f>
        <v>Item</v>
      </c>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t="str">
        <f>IFERROR(__xludf.DUMMYFUNCTION("""COMPUTED_VALUE"""),"Sapphire")</f>
        <v>Sapphire</v>
      </c>
      <c r="B1022" s="2" t="str">
        <f>IFERROR(__xludf.DUMMYFUNCTION("""COMPUTED_VALUE"""),"Crafting Material, roll a d20 to see how many you get if this is a loot drop.")</f>
        <v>Crafting Material, roll a d20 to see how many you get if this is a loot drop.</v>
      </c>
      <c r="C1022" s="2" t="str">
        <f>IFERROR(__xludf.DUMMYFUNCTION("""COMPUTED_VALUE"""),"Item")</f>
        <v>Item</v>
      </c>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t="str">
        <f>IFERROR(__xludf.DUMMYFUNCTION("""COMPUTED_VALUE"""),"Candy Corn")</f>
        <v>Candy Corn</v>
      </c>
      <c r="B1023" s="2" t="str">
        <f>IFERROR(__xludf.DUMMYFUNCTION("""COMPUTED_VALUE"""),"Gun ammunition. 5000 damage, +5000 fire damage.")</f>
        <v>Gun ammunition. 5000 damage, +5000 fire damage.</v>
      </c>
      <c r="C1023" s="2" t="str">
        <f>IFERROR(__xludf.DUMMYFUNCTION("""COMPUTED_VALUE"""),"Item")</f>
        <v>Item</v>
      </c>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t="str">
        <f>IFERROR(__xludf.DUMMYFUNCTION("""COMPUTED_VALUE"""),"Pumpkin Arrow")</f>
        <v>Pumpkin Arrow</v>
      </c>
      <c r="B1024" s="2" t="str">
        <f>IFERROR(__xludf.DUMMYFUNCTION("""COMPUTED_VALUE"""),"Bow Ammunition. +5000 fire damage. roll a d20 to see how many you get if this is a loot drop.")</f>
        <v>Bow Ammunition. +5000 fire damage. roll a d20 to see how many you get if this is a loot drop.</v>
      </c>
      <c r="C1024" s="2" t="str">
        <f>IFERROR(__xludf.DUMMYFUNCTION("""COMPUTED_VALUE"""),"Item")</f>
        <v>Item</v>
      </c>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t="str">
        <f>IFERROR(__xludf.DUMMYFUNCTION("""COMPUTED_VALUE"""),"Candy Corn Gem")</f>
        <v>Candy Corn Gem</v>
      </c>
      <c r="B1025" s="2" t="str">
        <f>IFERROR(__xludf.DUMMYFUNCTION("""COMPUTED_VALUE"""),"(Can be turned in for Halloween Coins Decided by the current DM / GM )")</f>
        <v>(Can be turned in for Halloween Coins Decided by the current DM / GM )</v>
      </c>
      <c r="C1025" s="2" t="str">
        <f>IFERROR(__xludf.DUMMYFUNCTION("""COMPUTED_VALUE"""),"Item")</f>
        <v>Item</v>
      </c>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t="str">
        <f>IFERROR(__xludf.DUMMYFUNCTION("""COMPUTED_VALUE"""),"Steel Arrow")</f>
        <v>Steel Arrow</v>
      </c>
      <c r="B1026" s="2" t="str">
        <f>IFERROR(__xludf.DUMMYFUNCTION("""COMPUTED_VALUE"""),"Bow Ammunition. +100 damage. roll a d20 to see how many you get if this is a loot drop.")</f>
        <v>Bow Ammunition. +100 damage. roll a d20 to see how many you get if this is a loot drop.</v>
      </c>
      <c r="C1026" s="2" t="str">
        <f>IFERROR(__xludf.DUMMYFUNCTION("""COMPUTED_VALUE"""),"Item")</f>
        <v>Item</v>
      </c>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t="str">
        <f>IFERROR(__xludf.DUMMYFUNCTION("""COMPUTED_VALUE"""),"Bone Key")</f>
        <v>Bone Key</v>
      </c>
      <c r="B1027" s="2" t="str">
        <f>IFERROR(__xludf.DUMMYFUNCTION("""COMPUTED_VALUE"""),"Opens bone chest")</f>
        <v>Opens bone chest</v>
      </c>
      <c r="C1027" s="2" t="str">
        <f>IFERROR(__xludf.DUMMYFUNCTION("""COMPUTED_VALUE"""),"Item")</f>
        <v>Item</v>
      </c>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t="str">
        <f>IFERROR(__xludf.DUMMYFUNCTION("""COMPUTED_VALUE"""),"Bone")</f>
        <v>Bone</v>
      </c>
      <c r="B1028" s="2" t="str">
        <f>IFERROR(__xludf.DUMMYFUNCTION("""COMPUTED_VALUE"""),"Crafting Material, roll a d20 to see how many you get if this is a loot drop.")</f>
        <v>Crafting Material, roll a d20 to see how many you get if this is a loot drop.</v>
      </c>
      <c r="C1028" s="2" t="str">
        <f>IFERROR(__xludf.DUMMYFUNCTION("""COMPUTED_VALUE"""),"Item")</f>
        <v>Item</v>
      </c>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t="str">
        <f>IFERROR(__xludf.DUMMYFUNCTION("""COMPUTED_VALUE"""),"Bone Chest")</f>
        <v>Bone Chest</v>
      </c>
      <c r="B1029" s="2" t="str">
        <f>IFERROR(__xludf.DUMMYFUNCTION("""COMPUTED_VALUE"""),"Determine the tier by a d10 roll.")</f>
        <v>Determine the tier by a d10 roll.</v>
      </c>
      <c r="C1029" s="2" t="str">
        <f>IFERROR(__xludf.DUMMYFUNCTION("""COMPUTED_VALUE"""),"Item")</f>
        <v>Item</v>
      </c>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 t="str">
        <f>IFERROR(__xludf.DUMMYFUNCTION("""COMPUTED_VALUE"""),"Viking Key")</f>
        <v>Viking Key</v>
      </c>
      <c r="B1030" s="2" t="str">
        <f>IFERROR(__xludf.DUMMYFUNCTION("""COMPUTED_VALUE"""),"Opens the Viking Chest")</f>
        <v>Opens the Viking Chest</v>
      </c>
      <c r="C1030" s="2" t="str">
        <f>IFERROR(__xludf.DUMMYFUNCTION("""COMPUTED_VALUE"""),"Item")</f>
        <v>Item</v>
      </c>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 t="str">
        <f>IFERROR(__xludf.DUMMYFUNCTION("""COMPUTED_VALUE"""),"Viking Chest")</f>
        <v>Viking Chest</v>
      </c>
      <c r="B1031" s="2" t="str">
        <f>IFERROR(__xludf.DUMMYFUNCTION("""COMPUTED_VALUE"""),"Determine the tier by a d10 roll.")</f>
        <v>Determine the tier by a d10 roll.</v>
      </c>
      <c r="C1031" s="2" t="str">
        <f>IFERROR(__xludf.DUMMYFUNCTION("""COMPUTED_VALUE"""),"Item")</f>
        <v>Item</v>
      </c>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 t="str">
        <f>IFERROR(__xludf.DUMMYFUNCTION("""COMPUTED_VALUE"""),"Vikings Cove Key")</f>
        <v>Vikings Cove Key</v>
      </c>
      <c r="B1032" s="2" t="str">
        <f>IFERROR(__xludf.DUMMYFUNCTION("""COMPUTED_VALUE"""),"Gain access to Vikings Cove")</f>
        <v>Gain access to Vikings Cove</v>
      </c>
      <c r="C1032" s="2" t="str">
        <f>IFERROR(__xludf.DUMMYFUNCTION("""COMPUTED_VALUE"""),"Item")</f>
        <v>Item</v>
      </c>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 t="str">
        <f>IFERROR(__xludf.DUMMYFUNCTION("""COMPUTED_VALUE"""),"Baboon meat")</f>
        <v>Baboon meat</v>
      </c>
      <c r="B1033" s="2" t="str">
        <f>IFERROR(__xludf.DUMMYFUNCTION("""COMPUTED_VALUE""")," +2 hunger")</f>
        <v> +2 hunger</v>
      </c>
      <c r="C1033" s="2" t="str">
        <f>IFERROR(__xludf.DUMMYFUNCTION("""COMPUTED_VALUE"""),"Crop")</f>
        <v>Crop</v>
      </c>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 t="str">
        <f>IFERROR(__xludf.DUMMYFUNCTION("""COMPUTED_VALUE"""),"Eagle Feathers")</f>
        <v>Eagle Feathers</v>
      </c>
      <c r="B1034" s="2" t="str">
        <f>IFERROR(__xludf.DUMMYFUNCTION("""COMPUTED_VALUE"""),"Crafting Material, roll a d20 to see how many you get if this is a loot drop.")</f>
        <v>Crafting Material, roll a d20 to see how many you get if this is a loot drop.</v>
      </c>
      <c r="C1034" s="2" t="str">
        <f>IFERROR(__xludf.DUMMYFUNCTION("""COMPUTED_VALUE"""),"Item")</f>
        <v>Item</v>
      </c>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 t="str">
        <f>IFERROR(__xludf.DUMMYFUNCTION("""COMPUTED_VALUE"""),"The Cycle")</f>
        <v>The Cycle</v>
      </c>
      <c r="B1035" s="2" t="str">
        <f>IFERROR(__xludf.DUMMYFUNCTION("""COMPUTED_VALUE"""),"1 damage initially to all enemies, Does X damage each round until all targets escape the cycle, must roll a 11 or higher adding you mobility as a bonus to your roll while attempting to escape each round")</f>
        <v>1 damage initially to all enemies, Does X damage each round until all targets escape the cycle, must roll a 11 or higher adding you mobility as a bonus to your roll while attempting to escape each round</v>
      </c>
      <c r="C1035" s="2" t="str">
        <f>IFERROR(__xludf.DUMMYFUNCTION("""COMPUTED_VALUE"""),"Item")</f>
        <v>Item</v>
      </c>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 t="str">
        <f>IFERROR(__xludf.DUMMYFUNCTION("""COMPUTED_VALUE"""),"Scale")</f>
        <v>Scale</v>
      </c>
      <c r="B1036" s="2" t="str">
        <f>IFERROR(__xludf.DUMMYFUNCTION("""COMPUTED_VALUE"""),"can be added to armor to give it +1 Earth resistance, once added to armor it can’t be removed")</f>
        <v>can be added to armor to give it +1 Earth resistance, once added to armor it can’t be removed</v>
      </c>
      <c r="C1036" s="2" t="str">
        <f>IFERROR(__xludf.DUMMYFUNCTION("""COMPUTED_VALUE"""),"Item")</f>
        <v>Item</v>
      </c>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 t="str">
        <f>IFERROR(__xludf.DUMMYFUNCTION("""COMPUTED_VALUE"""),"Egg")</f>
        <v>Egg</v>
      </c>
      <c r="B1037" s="2" t="str">
        <f>IFERROR(__xludf.DUMMYFUNCTION("""COMPUTED_VALUE"""),"Will hatch in X/X days.")</f>
        <v>Will hatch in X/X days.</v>
      </c>
      <c r="C1037" s="2" t="str">
        <f>IFERROR(__xludf.DUMMYFUNCTION("""COMPUTED_VALUE"""),"Item")</f>
        <v>Item</v>
      </c>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 t="str">
        <f>IFERROR(__xludf.DUMMYFUNCTION("""COMPUTED_VALUE"""),"Soul")</f>
        <v>Soul</v>
      </c>
      <c r="B1038" s="2" t="str">
        <f>IFERROR(__xludf.DUMMYFUNCTION("""COMPUTED_VALUE"""),"usable can be used to temporarily summon a minion of the creature the soul came from, the minion disappears after battle or when it's killed, If you have 3 or more souls you can gain 1 power from the creature, when you have gained 5 or more souls they can"&amp;" become the creature.")</f>
        <v>usable can be used to temporarily summon a minion of the creature the soul came from, the minion disappears after battle or when it's killed, If you have 3 or more souls you can gain 1 power from the creature, when you have gained 5 or more souls they can become the creature.</v>
      </c>
      <c r="C1038" s="2" t="str">
        <f>IFERROR(__xludf.DUMMYFUNCTION("""COMPUTED_VALUE"""),"Item")</f>
        <v>Item</v>
      </c>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 t="str">
        <f>IFERROR(__xludf.DUMMYFUNCTION("""COMPUTED_VALUE"""),"Crystal")</f>
        <v>Crystal</v>
      </c>
      <c r="B1039" s="2" t="str">
        <f>IFERROR(__xludf.DUMMYFUNCTION("""COMPUTED_VALUE"""),"Crafting Material, roll a d20 to see how many you get if this is a loot drop.")</f>
        <v>Crafting Material, roll a d20 to see how many you get if this is a loot drop.</v>
      </c>
      <c r="C1039" s="2" t="str">
        <f>IFERROR(__xludf.DUMMYFUNCTION("""COMPUTED_VALUE"""),"Item")</f>
        <v>Item</v>
      </c>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 t="str">
        <f>IFERROR(__xludf.DUMMYFUNCTION("""COMPUTED_VALUE"""),"Delta Gems")</f>
        <v>Delta Gems</v>
      </c>
      <c r="B1040" s="2" t="str">
        <f>IFERROR(__xludf.DUMMYFUNCTION("""COMPUTED_VALUE"""),"Crafting Material, roll a d20 to see how many you get if this is a loot drop.")</f>
        <v>Crafting Material, roll a d20 to see how many you get if this is a loot drop.</v>
      </c>
      <c r="C1040" s="2" t="str">
        <f>IFERROR(__xludf.DUMMYFUNCTION("""COMPUTED_VALUE"""),"Item")</f>
        <v>Item</v>
      </c>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 t="str">
        <f>IFERROR(__xludf.DUMMYFUNCTION("""COMPUTED_VALUE"""),"Fire Diamonds")</f>
        <v>Fire Diamonds</v>
      </c>
      <c r="B1041" s="2" t="str">
        <f>IFERROR(__xludf.DUMMYFUNCTION("""COMPUTED_VALUE"""),"Crafting Material, roll a d20 to see how many you get if this is a loot drop.")</f>
        <v>Crafting Material, roll a d20 to see how many you get if this is a loot drop.</v>
      </c>
      <c r="C1041" s="2" t="str">
        <f>IFERROR(__xludf.DUMMYFUNCTION("""COMPUTED_VALUE"""),"Item")</f>
        <v>Item</v>
      </c>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 t="str">
        <f>IFERROR(__xludf.DUMMYFUNCTION("""COMPUTED_VALUE"""),"plant containing the ‘instant death status effect’")</f>
        <v>plant containing the ‘instant death status effect’</v>
      </c>
      <c r="B1042" s="2" t="str">
        <f>IFERROR(__xludf.DUMMYFUNCTION("""COMPUTED_VALUE"""),"Quest item")</f>
        <v>Quest item</v>
      </c>
      <c r="C1042" s="2" t="str">
        <f>IFERROR(__xludf.DUMMYFUNCTION("""COMPUTED_VALUE"""),"Item")</f>
        <v>Item</v>
      </c>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 t="str">
        <f>IFERROR(__xludf.DUMMYFUNCTION("""COMPUTED_VALUE"""),"Potion of Cure Curse")</f>
        <v>Potion of Cure Curse</v>
      </c>
      <c r="B1043" s="2" t="str">
        <f>IFERROR(__xludf.DUMMYFUNCTION("""COMPUTED_VALUE"""),"Curse Antidote")</f>
        <v>Curse Antidote</v>
      </c>
      <c r="C1043" s="2" t="str">
        <f>IFERROR(__xludf.DUMMYFUNCTION("""COMPUTED_VALUE"""),"Item")</f>
        <v>Item</v>
      </c>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 t="str">
        <f>IFERROR(__xludf.DUMMYFUNCTION("""COMPUTED_VALUE"""),"Glowing Blue Jelly")</f>
        <v>Glowing Blue Jelly</v>
      </c>
      <c r="B1044" s="2" t="str">
        <f>IFERROR(__xludf.DUMMYFUNCTION("""COMPUTED_VALUE"""),"Crafting Material, roll a d20 to see how many you get if this is a loot drop.")</f>
        <v>Crafting Material, roll a d20 to see how many you get if this is a loot drop.</v>
      </c>
      <c r="C1044" s="2" t="str">
        <f>IFERROR(__xludf.DUMMYFUNCTION("""COMPUTED_VALUE"""),"Item")</f>
        <v>Item</v>
      </c>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 t="str">
        <f>IFERROR(__xludf.DUMMYFUNCTION("""COMPUTED_VALUE"""),"Feather")</f>
        <v>Feather</v>
      </c>
      <c r="B1045" s="2" t="str">
        <f>IFERROR(__xludf.DUMMYFUNCTION("""COMPUTED_VALUE"""),"Crafting Material, roll a d20 to see how many you get if this is a loot drop.")</f>
        <v>Crafting Material, roll a d20 to see how many you get if this is a loot drop.</v>
      </c>
      <c r="C1045" s="2" t="str">
        <f>IFERROR(__xludf.DUMMYFUNCTION("""COMPUTED_VALUE"""),"Item")</f>
        <v>Item</v>
      </c>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 t="str">
        <f>IFERROR(__xludf.DUMMYFUNCTION("""COMPUTED_VALUE"""),"Talon")</f>
        <v>Talon</v>
      </c>
      <c r="B1046" s="2" t="str">
        <f>IFERROR(__xludf.DUMMYFUNCTION("""COMPUTED_VALUE"""),"Crafting Material, roll a d20 to see how many you get if this is a loot drop.")</f>
        <v>Crafting Material, roll a d20 to see how many you get if this is a loot drop.</v>
      </c>
      <c r="C1046" s="2" t="str">
        <f>IFERROR(__xludf.DUMMYFUNCTION("""COMPUTED_VALUE"""),"Item")</f>
        <v>Item</v>
      </c>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 t="str">
        <f>IFERROR(__xludf.DUMMYFUNCTION("""COMPUTED_VALUE"""),"Eyeball")</f>
        <v>Eyeball</v>
      </c>
      <c r="B1047" s="2" t="str">
        <f>IFERROR(__xludf.DUMMYFUNCTION("""COMPUTED_VALUE"""),"Crafting Material, roll a d20 to see how many you get if this is a loot drop.")</f>
        <v>Crafting Material, roll a d20 to see how many you get if this is a loot drop.</v>
      </c>
      <c r="C1047" s="2" t="str">
        <f>IFERROR(__xludf.DUMMYFUNCTION("""COMPUTED_VALUE"""),"Item")</f>
        <v>Item</v>
      </c>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 t="str">
        <f>IFERROR(__xludf.DUMMYFUNCTION("""COMPUTED_VALUE"""),"Spider Egg")</f>
        <v>Spider Egg</v>
      </c>
      <c r="B1048" s="2" t="str">
        <f>IFERROR(__xludf.DUMMYFUNCTION("""COMPUTED_VALUE"""),"Crafting Material, roll a d20 to see how many you get if this is a loot drop.")</f>
        <v>Crafting Material, roll a d20 to see how many you get if this is a loot drop.</v>
      </c>
      <c r="C1048" s="2" t="str">
        <f>IFERROR(__xludf.DUMMYFUNCTION("""COMPUTED_VALUE"""),"Item")</f>
        <v>Item</v>
      </c>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 t="str">
        <f>IFERROR(__xludf.DUMMYFUNCTION("""COMPUTED_VALUE"""),"Giant Spider Exoskeleton")</f>
        <v>Giant Spider Exoskeleton</v>
      </c>
      <c r="B1049" s="2" t="str">
        <f>IFERROR(__xludf.DUMMYFUNCTION("""COMPUTED_VALUE"""),"Crafting Material, roll a d20 to see how many you get if this is a loot drop.")</f>
        <v>Crafting Material, roll a d20 to see how many you get if this is a loot drop.</v>
      </c>
      <c r="C1049" s="2" t="str">
        <f>IFERROR(__xludf.DUMMYFUNCTION("""COMPUTED_VALUE"""),"Item")</f>
        <v>Item</v>
      </c>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 t="str">
        <f>IFERROR(__xludf.DUMMYFUNCTION("""COMPUTED_VALUE"""),"Giant Spider Poison")</f>
        <v>Giant Spider Poison</v>
      </c>
      <c r="B1050" s="2" t="str">
        <f>IFERROR(__xludf.DUMMYFUNCTION("""COMPUTED_VALUE"""),"Crafting Material, roll a d20 to see how many you get if this is a loot drop.")</f>
        <v>Crafting Material, roll a d20 to see how many you get if this is a loot drop.</v>
      </c>
      <c r="C1050" s="2" t="str">
        <f>IFERROR(__xludf.DUMMYFUNCTION("""COMPUTED_VALUE"""),"Item")</f>
        <v>Item</v>
      </c>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2" t="str">
        <f>IFERROR(__xludf.DUMMYFUNCTION("""COMPUTED_VALUE"""),"Poison Gem")</f>
        <v>Poison Gem</v>
      </c>
      <c r="B1051" s="2" t="str">
        <f>IFERROR(__xludf.DUMMYFUNCTION("""COMPUTED_VALUE"""),"Crafting Material, roll a d20 to see how many you get if this is a loot drop.")</f>
        <v>Crafting Material, roll a d20 to see how many you get if this is a loot drop.</v>
      </c>
      <c r="C1051" s="2" t="str">
        <f>IFERROR(__xludf.DUMMYFUNCTION("""COMPUTED_VALUE"""),"Item")</f>
        <v>Item</v>
      </c>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2" t="str">
        <f>IFERROR(__xludf.DUMMYFUNCTION("""COMPUTED_VALUE"""),"Returning Arrow")</f>
        <v>Returning Arrow</v>
      </c>
      <c r="B1052" s="2" t="str">
        <f>IFERROR(__xludf.DUMMYFUNCTION("""COMPUTED_VALUE"""),"Bow Ammunition. +500 damage.  returns to the user. roll a d20 to see how many you get if this is a loot drop.")</f>
        <v>Bow Ammunition. +500 damage.  returns to the user. roll a d20 to see how many you get if this is a loot drop.</v>
      </c>
      <c r="C1052" s="2" t="str">
        <f>IFERROR(__xludf.DUMMYFUNCTION("""COMPUTED_VALUE"""),"Item")</f>
        <v>Item</v>
      </c>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2" t="str">
        <f>IFERROR(__xludf.DUMMYFUNCTION("""COMPUTED_VALUE"""),"Shadow Fluid")</f>
        <v>Shadow Fluid</v>
      </c>
      <c r="B1053" s="2" t="str">
        <f>IFERROR(__xludf.DUMMYFUNCTION("""COMPUTED_VALUE"""),"Crafting Material, roll a d20 to see how many you get if this is a loot drop.")</f>
        <v>Crafting Material, roll a d20 to see how many you get if this is a loot drop.</v>
      </c>
      <c r="C1053" s="2" t="str">
        <f>IFERROR(__xludf.DUMMYFUNCTION("""COMPUTED_VALUE"""),"Item")</f>
        <v>Item</v>
      </c>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2" t="str">
        <f>IFERROR(__xludf.DUMMYFUNCTION("""COMPUTED_VALUE"""),"Skull")</f>
        <v>Skull</v>
      </c>
      <c r="B1054" s="2" t="str">
        <f>IFERROR(__xludf.DUMMYFUNCTION("""COMPUTED_VALUE"""),"Crafting Material, roll a d20 to see how many you get if this is a loot drop.")</f>
        <v>Crafting Material, roll a d20 to see how many you get if this is a loot drop.</v>
      </c>
      <c r="C1054" s="2" t="str">
        <f>IFERROR(__xludf.DUMMYFUNCTION("""COMPUTED_VALUE"""),"Item")</f>
        <v>Item</v>
      </c>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2" t="str">
        <f>IFERROR(__xludf.DUMMYFUNCTION("""COMPUTED_VALUE"""),"pumpkin gem")</f>
        <v>pumpkin gem</v>
      </c>
      <c r="B1055" s="2" t="str">
        <f>IFERROR(__xludf.DUMMYFUNCTION("""COMPUTED_VALUE"""),"Crafting Material, roll a d20 to see how many you get if this is a loot drop.")</f>
        <v>Crafting Material, roll a d20 to see how many you get if this is a loot drop.</v>
      </c>
      <c r="C1055" s="2" t="str">
        <f>IFERROR(__xludf.DUMMYFUNCTION("""COMPUTED_VALUE"""),"Item")</f>
        <v>Item</v>
      </c>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2" t="str">
        <f>IFERROR(__xludf.DUMMYFUNCTION("""COMPUTED_VALUE"""),"Rotton Flesh")</f>
        <v>Rotton Flesh</v>
      </c>
      <c r="B1056" s="2" t="str">
        <f>IFERROR(__xludf.DUMMYFUNCTION("""COMPUTED_VALUE"""),"-100 Hunger if you are not undead. +200 hunger and energy if you are undead.")</f>
        <v>-100 Hunger if you are not undead. +200 hunger and energy if you are undead.</v>
      </c>
      <c r="C1056" s="2" t="str">
        <f>IFERROR(__xludf.DUMMYFUNCTION("""COMPUTED_VALUE"""),"Crop")</f>
        <v>Crop</v>
      </c>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2" t="str">
        <f>IFERROR(__xludf.DUMMYFUNCTION("""COMPUTED_VALUE"""),"Bag of Sand")</f>
        <v>Bag of Sand</v>
      </c>
      <c r="B1057" s="2" t="str">
        <f>IFERROR(__xludf.DUMMYFUNCTION("""COMPUTED_VALUE"""),"Crafting Material, roll a d20 to see how many you get if this is a loot drop.")</f>
        <v>Crafting Material, roll a d20 to see how many you get if this is a loot drop.</v>
      </c>
      <c r="C1057" s="2" t="str">
        <f>IFERROR(__xludf.DUMMYFUNCTION("""COMPUTED_VALUE"""),"Item")</f>
        <v>Item</v>
      </c>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2" t="str">
        <f>IFERROR(__xludf.DUMMYFUNCTION("""COMPUTED_VALUE"""),"Glowing Red eye")</f>
        <v>Glowing Red eye</v>
      </c>
      <c r="B1058" s="2" t="str">
        <f>IFERROR(__xludf.DUMMYFUNCTION("""COMPUTED_VALUE""")," +10SP")</f>
        <v> +10SP</v>
      </c>
      <c r="C1058" s="2" t="str">
        <f>IFERROR(__xludf.DUMMYFUNCTION("""COMPUTED_VALUE"""),"Item")</f>
        <v>Item</v>
      </c>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2" t="str">
        <f>IFERROR(__xludf.DUMMYFUNCTION("""COMPUTED_VALUE"""),"Sand Gem")</f>
        <v>Sand Gem</v>
      </c>
      <c r="B1059" s="2" t="str">
        <f>IFERROR(__xludf.DUMMYFUNCTION("""COMPUTED_VALUE"""),"Crafting Material, roll a d20 to see how many you get if this is a loot drop.")</f>
        <v>Crafting Material, roll a d20 to see how many you get if this is a loot drop.</v>
      </c>
      <c r="C1059" s="2" t="str">
        <f>IFERROR(__xludf.DUMMYFUNCTION("""COMPUTED_VALUE"""),"Item")</f>
        <v>Item</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2" t="str">
        <f>IFERROR(__xludf.DUMMYFUNCTION("""COMPUTED_VALUE"""),"Poison water")</f>
        <v>Poison water</v>
      </c>
      <c r="B1060" s="2"/>
      <c r="C1060" s="2" t="str">
        <f>IFERROR(__xludf.DUMMYFUNCTION("""COMPUTED_VALUE"""),"Item")</f>
        <v>Item</v>
      </c>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2" t="str">
        <f>IFERROR(__xludf.DUMMYFUNCTION("""COMPUTED_VALUE"""),"Poison Mushroom")</f>
        <v>Poison Mushroom</v>
      </c>
      <c r="B1061" s="2" t="str">
        <f>IFERROR(__xludf.DUMMYFUNCTION("""COMPUTED_VALUE"""),"-100 Hunger, Causes poison 100 for 10 days of travel.")</f>
        <v>-100 Hunger, Causes poison 100 for 10 days of travel.</v>
      </c>
      <c r="C1061" s="2" t="str">
        <f>IFERROR(__xludf.DUMMYFUNCTION("""COMPUTED_VALUE"""),"Crop")</f>
        <v>Crop</v>
      </c>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2" t="str">
        <f>IFERROR(__xludf.DUMMYFUNCTION("""COMPUTED_VALUE"""),"Vile of Poison")</f>
        <v>Vile of Poison</v>
      </c>
      <c r="B1062" s="2" t="str">
        <f>IFERROR(__xludf.DUMMYFUNCTION("""COMPUTED_VALUE"""),"Crafting Material, roll a d20 to see how many you get if this is a loot drop.")</f>
        <v>Crafting Material, roll a d20 to see how many you get if this is a loot drop.</v>
      </c>
      <c r="C1062" s="2" t="str">
        <f>IFERROR(__xludf.DUMMYFUNCTION("""COMPUTED_VALUE"""),"Item")</f>
        <v>Item</v>
      </c>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2" t="str">
        <f>IFERROR(__xludf.DUMMYFUNCTION("""COMPUTED_VALUE"""),"Explosive Arrow")</f>
        <v>Explosive Arrow</v>
      </c>
      <c r="B1063" s="2" t="str">
        <f>IFERROR(__xludf.DUMMYFUNCTION("""COMPUTED_VALUE"""),"Bow Ammunition. +1000 fire damage to the enemy it hits. +500 fire damage to all other enemies. roll a d20 to see how many you get if this is a loot drop.")</f>
        <v>Bow Ammunition. +1000 fire damage to the enemy it hits. +500 fire damage to all other enemies. roll a d20 to see how many you get if this is a loot drop.</v>
      </c>
      <c r="C1063" s="2" t="str">
        <f>IFERROR(__xludf.DUMMYFUNCTION("""COMPUTED_VALUE"""),"Item")</f>
        <v>Item</v>
      </c>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2" t="str">
        <f>IFERROR(__xludf.DUMMYFUNCTION("""COMPUTED_VALUE"""),"Frost diamond")</f>
        <v>Frost diamond</v>
      </c>
      <c r="B1064" s="2" t="str">
        <f>IFERROR(__xludf.DUMMYFUNCTION("""COMPUTED_VALUE"""),"Crafting Material, roll a d20 to see how many you get if this is a loot drop.")</f>
        <v>Crafting Material, roll a d20 to see how many you get if this is a loot drop.</v>
      </c>
      <c r="C1064" s="2" t="str">
        <f>IFERROR(__xludf.DUMMYFUNCTION("""COMPUTED_VALUE"""),"Item")</f>
        <v>Item</v>
      </c>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2" t="str">
        <f>IFERROR(__xludf.DUMMYFUNCTION("""COMPUTED_VALUE"""),"Big Frost Owl Feathers")</f>
        <v>Big Frost Owl Feathers</v>
      </c>
      <c r="B1065" s="2" t="str">
        <f>IFERROR(__xludf.DUMMYFUNCTION("""COMPUTED_VALUE"""),"Crafting Material, roll a d20 to see how many you get if this is a loot drop.")</f>
        <v>Crafting Material, roll a d20 to see how many you get if this is a loot drop.</v>
      </c>
      <c r="C1065" s="2" t="str">
        <f>IFERROR(__xludf.DUMMYFUNCTION("""COMPUTED_VALUE"""),"Item")</f>
        <v>Item</v>
      </c>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2" t="str">
        <f>IFERROR(__xludf.DUMMYFUNCTION("""COMPUTED_VALUE"""),"Big Frost Owl egg")</f>
        <v>Big Frost Owl egg</v>
      </c>
      <c r="B1066" s="2"/>
      <c r="C1066" s="2" t="str">
        <f>IFERROR(__xludf.DUMMYFUNCTION("""COMPUTED_VALUE"""),"Item")</f>
        <v>Item</v>
      </c>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2" t="str">
        <f>IFERROR(__xludf.DUMMYFUNCTION("""COMPUTED_VALUE"""),"Giant Frost Diamond")</f>
        <v>Giant Frost Diamond</v>
      </c>
      <c r="B1067" s="2" t="str">
        <f>IFERROR(__xludf.DUMMYFUNCTION("""COMPUTED_VALUE"""),"Crafting Material, roll a d20 to see how many you get if this is a loot drop.")</f>
        <v>Crafting Material, roll a d20 to see how many you get if this is a loot drop.</v>
      </c>
      <c r="C1067" s="2" t="str">
        <f>IFERROR(__xludf.DUMMYFUNCTION("""COMPUTED_VALUE"""),"Item")</f>
        <v>Item</v>
      </c>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2" t="str">
        <f>IFERROR(__xludf.DUMMYFUNCTION("""COMPUTED_VALUE"""),"Gold Brick")</f>
        <v>Gold Brick</v>
      </c>
      <c r="B1068" s="2" t="str">
        <f>IFERROR(__xludf.DUMMYFUNCTION("""COMPUTED_VALUE"""),"Crafting Material, roll a d20 to see how many you get if this is a loot drop.")</f>
        <v>Crafting Material, roll a d20 to see how many you get if this is a loot drop.</v>
      </c>
      <c r="C1068" s="2" t="str">
        <f>IFERROR(__xludf.DUMMYFUNCTION("""COMPUTED_VALUE"""),"Item")</f>
        <v>Item</v>
      </c>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2" t="str">
        <f>IFERROR(__xludf.DUMMYFUNCTION("""COMPUTED_VALUE"""),"Arrow of Mutiplying ")</f>
        <v>Arrow of Mutiplying </v>
      </c>
      <c r="B1069" s="2" t="str">
        <f>IFERROR(__xludf.DUMMYFUNCTION("""COMPUTED_VALUE"""),"Bow Ammunition. +1000 damage. +This arrow will summon X copies of itself which will also strike the target being attacked. X is equal to a d20 roll. roll a d20 to see how many you get if this is a loot drop.")</f>
        <v>Bow Ammunition. +1000 damage. +This arrow will summon X copies of itself which will also strike the target being attacked. X is equal to a d20 roll. roll a d20 to see how many you get if this is a loot drop.</v>
      </c>
      <c r="C1069" s="2" t="str">
        <f>IFERROR(__xludf.DUMMYFUNCTION("""COMPUTED_VALUE"""),"Item")</f>
        <v>Item</v>
      </c>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2" t="str">
        <f>IFERROR(__xludf.DUMMYFUNCTION("""COMPUTED_VALUE"""),"Water Gem")</f>
        <v>Water Gem</v>
      </c>
      <c r="B1070" s="2" t="str">
        <f>IFERROR(__xludf.DUMMYFUNCTION("""COMPUTED_VALUE"""),"Crafting Material, roll a d20 to see how many you get if this is a loot drop.")</f>
        <v>Crafting Material, roll a d20 to see how many you get if this is a loot drop.</v>
      </c>
      <c r="C1070" s="2" t="str">
        <f>IFERROR(__xludf.DUMMYFUNCTION("""COMPUTED_VALUE"""),"Item")</f>
        <v>Item</v>
      </c>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2" t="str">
        <f>IFERROR(__xludf.DUMMYFUNCTION("""COMPUTED_VALUE"""),"Goose Meat")</f>
        <v>Goose Meat</v>
      </c>
      <c r="B1071" s="2" t="str">
        <f>IFERROR(__xludf.DUMMYFUNCTION("""COMPUTED_VALUE"""),"-200 hunger to any character that is not owner by Hunter Gooseman. +500 Hunger to any character Hunter Owns.")</f>
        <v>-200 hunger to any character that is not owner by Hunter Gooseman. +500 Hunger to any character Hunter Owns.</v>
      </c>
      <c r="C1071" s="2" t="str">
        <f>IFERROR(__xludf.DUMMYFUNCTION("""COMPUTED_VALUE"""),"Crop")</f>
        <v>Crop</v>
      </c>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2" t="str">
        <f>IFERROR(__xludf.DUMMYFUNCTION("""COMPUTED_VALUE"""),"Mysterious Gem")</f>
        <v>Mysterious Gem</v>
      </c>
      <c r="B1072" s="2" t="str">
        <f>IFERROR(__xludf.DUMMYFUNCTION("""COMPUTED_VALUE"""),"Crafting Material, roll a d20 to see how many you get if this is a loot drop.")</f>
        <v>Crafting Material, roll a d20 to see how many you get if this is a loot drop.</v>
      </c>
      <c r="C1072" s="2" t="str">
        <f>IFERROR(__xludf.DUMMYFUNCTION("""COMPUTED_VALUE"""),"Item")</f>
        <v>Item</v>
      </c>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2" t="str">
        <f>IFERROR(__xludf.DUMMYFUNCTION("""COMPUTED_VALUE"""),"Turtle Shell")</f>
        <v>Turtle Shell</v>
      </c>
      <c r="B1073" s="2" t="str">
        <f>IFERROR(__xludf.DUMMYFUNCTION("""COMPUTED_VALUE"""),"Crafting Material, roll a d20 to see how many you get if this is a loot drop.")</f>
        <v>Crafting Material, roll a d20 to see how many you get if this is a loot drop.</v>
      </c>
      <c r="C1073" s="2" t="str">
        <f>IFERROR(__xludf.DUMMYFUNCTION("""COMPUTED_VALUE"""),"Item")</f>
        <v>Item</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2" t="str">
        <f>IFERROR(__xludf.DUMMYFUNCTION("""COMPUTED_VALUE"""),"Pumpkin Diamond")</f>
        <v>Pumpkin Diamond</v>
      </c>
      <c r="B1074" s="2" t="str">
        <f>IFERROR(__xludf.DUMMYFUNCTION("""COMPUTED_VALUE"""),"Crafting Material, roll a d20 to see how many you get if this is a loot drop.")</f>
        <v>Crafting Material, roll a d20 to see how many you get if this is a loot drop.</v>
      </c>
      <c r="C1074" s="2" t="str">
        <f>IFERROR(__xludf.DUMMYFUNCTION("""COMPUTED_VALUE"""),"Item")</f>
        <v>Item</v>
      </c>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2" t="str">
        <f>IFERROR(__xludf.DUMMYFUNCTION("""COMPUTED_VALUE"""),"Shadow Diamond")</f>
        <v>Shadow Diamond</v>
      </c>
      <c r="B1075" s="2" t="str">
        <f>IFERROR(__xludf.DUMMYFUNCTION("""COMPUTED_VALUE"""),"Crafting Material, roll a d20 to see how many you get if this is a loot drop.")</f>
        <v>Crafting Material, roll a d20 to see how many you get if this is a loot drop.</v>
      </c>
      <c r="C1075" s="2" t="str">
        <f>IFERROR(__xludf.DUMMYFUNCTION("""COMPUTED_VALUE"""),"Item")</f>
        <v>Item</v>
      </c>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2" t="str">
        <f>IFERROR(__xludf.DUMMYFUNCTION("""COMPUTED_VALUE"""),"Rank 6 Earth tome")</f>
        <v>Rank 6 Earth tome</v>
      </c>
      <c r="B1076" s="2" t="str">
        <f>IFERROR(__xludf.DUMMYFUNCTION("""COMPUTED_VALUE"""),"Allows use of up to Rank 6 Earth Powers")</f>
        <v>Allows use of up to Rank 6 Earth Powers</v>
      </c>
      <c r="C1076" s="2" t="str">
        <f>IFERROR(__xludf.DUMMYFUNCTION("""COMPUTED_VALUE"""),"Item")</f>
        <v>Item</v>
      </c>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2" t="str">
        <f>IFERROR(__xludf.DUMMYFUNCTION("""COMPUTED_VALUE"""),"Demon Claw")</f>
        <v>Demon Claw</v>
      </c>
      <c r="B1077" s="2" t="str">
        <f>IFERROR(__xludf.DUMMYFUNCTION("""COMPUTED_VALUE"""),"Crafting Material, roll a d20 to see how many you get if this is a loot drop.")</f>
        <v>Crafting Material, roll a d20 to see how many you get if this is a loot drop.</v>
      </c>
      <c r="C1077" s="2" t="str">
        <f>IFERROR(__xludf.DUMMYFUNCTION("""COMPUTED_VALUE"""),"Item")</f>
        <v>Item</v>
      </c>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2" t="str">
        <f>IFERROR(__xludf.DUMMYFUNCTION("""COMPUTED_VALUE"""),"Golden Bug")</f>
        <v>Golden Bug</v>
      </c>
      <c r="B1078" s="2" t="str">
        <f>IFERROR(__xludf.DUMMYFUNCTION("""COMPUTED_VALUE"""),"Crafting Material, roll a d20 to see how many you get if this is a loot drop.")</f>
        <v>Crafting Material, roll a d20 to see how many you get if this is a loot drop.</v>
      </c>
      <c r="C1078" s="2" t="str">
        <f>IFERROR(__xludf.DUMMYFUNCTION("""COMPUTED_VALUE"""),"Item")</f>
        <v>Item</v>
      </c>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2" t="str">
        <f>IFERROR(__xludf.DUMMYFUNCTION("""COMPUTED_VALUE"""),"Dragon Orb")</f>
        <v>Dragon Orb</v>
      </c>
      <c r="B1079" s="2" t="str">
        <f>IFERROR(__xludf.DUMMYFUNCTION("""COMPUTED_VALUE"""),"Crafting Material, roll a d20 to see how many you get if this is a loot drop.")</f>
        <v>Crafting Material, roll a d20 to see how many you get if this is a loot drop.</v>
      </c>
      <c r="C1079" s="2" t="str">
        <f>IFERROR(__xludf.DUMMYFUNCTION("""COMPUTED_VALUE"""),"Item")</f>
        <v>Item</v>
      </c>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2" t="str">
        <f>IFERROR(__xludf.DUMMYFUNCTION("""COMPUTED_VALUE"""),"Water potion")</f>
        <v>Water potion</v>
      </c>
      <c r="B1080" s="2" t="str">
        <f>IFERROR(__xludf.DUMMYFUNCTION("""COMPUTED_VALUE"""),"Gives water immunity for 1 round")</f>
        <v>Gives water immunity for 1 round</v>
      </c>
      <c r="C1080" s="2" t="str">
        <f>IFERROR(__xludf.DUMMYFUNCTION("""COMPUTED_VALUE"""),"Item")</f>
        <v>Item</v>
      </c>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2" t="str">
        <f>IFERROR(__xludf.DUMMYFUNCTION("""COMPUTED_VALUE"""),"Jellyfish Stinger")</f>
        <v>Jellyfish Stinger</v>
      </c>
      <c r="B1081" s="2" t="str">
        <f>IFERROR(__xludf.DUMMYFUNCTION("""COMPUTED_VALUE"""),"Crafting Material, roll a d20 to see how many you get if this is a loot drop.")</f>
        <v>Crafting Material, roll a d20 to see how many you get if this is a loot drop.</v>
      </c>
      <c r="C1081" s="2" t="str">
        <f>IFERROR(__xludf.DUMMYFUNCTION("""COMPUTED_VALUE"""),"Item")</f>
        <v>Item</v>
      </c>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2" t="str">
        <f>IFERROR(__xludf.DUMMYFUNCTION("""COMPUTED_VALUE"""),"Bee Stinger ")</f>
        <v>Bee Stinger </v>
      </c>
      <c r="B1082" s="2" t="str">
        <f>IFERROR(__xludf.DUMMYFUNCTION("""COMPUTED_VALUE"""),"Crafting Material, roll a d20 to see how many you get if this is a loot drop.")</f>
        <v>Crafting Material, roll a d20 to see how many you get if this is a loot drop.</v>
      </c>
      <c r="C1082" s="2" t="str">
        <f>IFERROR(__xludf.DUMMYFUNCTION("""COMPUTED_VALUE"""),"Item")</f>
        <v>Item</v>
      </c>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2" t="str">
        <f>IFERROR(__xludf.DUMMYFUNCTION("""COMPUTED_VALUE"""),"Squid Ink")</f>
        <v>Squid Ink</v>
      </c>
      <c r="B1083" s="2" t="str">
        <f>IFERROR(__xludf.DUMMYFUNCTION("""COMPUTED_VALUE"""),"Crafting Material, roll a d20 to see how many you get if this is a loot drop.")</f>
        <v>Crafting Material, roll a d20 to see how many you get if this is a loot drop.</v>
      </c>
      <c r="C1083" s="2" t="str">
        <f>IFERROR(__xludf.DUMMYFUNCTION("""COMPUTED_VALUE"""),"Item")</f>
        <v>Item</v>
      </c>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2" t="str">
        <f>IFERROR(__xludf.DUMMYFUNCTION("""COMPUTED_VALUE"""),"Potion of Water Breathing")</f>
        <v>Potion of Water Breathing</v>
      </c>
      <c r="B1084" s="2" t="str">
        <f>IFERROR(__xludf.DUMMYFUNCTION("""COMPUTED_VALUE"""),"Immune to water for for 3 rounds in battle or 3 days of travel.")</f>
        <v>Immune to water for for 3 rounds in battle or 3 days of travel.</v>
      </c>
      <c r="C1084" s="2" t="str">
        <f>IFERROR(__xludf.DUMMYFUNCTION("""COMPUTED_VALUE"""),"Item")</f>
        <v>Item</v>
      </c>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2" t="str">
        <f>IFERROR(__xludf.DUMMYFUNCTION("""COMPUTED_VALUE"""),"Shark Fin")</f>
        <v>Shark Fin</v>
      </c>
      <c r="B1085" s="2" t="str">
        <f>IFERROR(__xludf.DUMMYFUNCTION("""COMPUTED_VALUE"""),"Restores 10 Hunger, +1 ATK until rest")</f>
        <v>Restores 10 Hunger, +1 ATK until rest</v>
      </c>
      <c r="C1085" s="2" t="str">
        <f>IFERROR(__xludf.DUMMYFUNCTION("""COMPUTED_VALUE"""),"Crop")</f>
        <v>Crop</v>
      </c>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2" t="str">
        <f>IFERROR(__xludf.DUMMYFUNCTION("""COMPUTED_VALUE"""),"Shark Teeth")</f>
        <v>Shark Teeth</v>
      </c>
      <c r="B1086" s="2" t="str">
        <f>IFERROR(__xludf.DUMMYFUNCTION("""COMPUTED_VALUE"""),"100 = permanently increase Atk by 1")</f>
        <v>100 = permanently increase Atk by 1</v>
      </c>
      <c r="C1086" s="2" t="str">
        <f>IFERROR(__xludf.DUMMYFUNCTION("""COMPUTED_VALUE"""),"Item")</f>
        <v>Item</v>
      </c>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2" t="str">
        <f>IFERROR(__xludf.DUMMYFUNCTION("""COMPUTED_VALUE"""),"Fish")</f>
        <v>Fish</v>
      </c>
      <c r="B1087" s="2" t="str">
        <f>IFERROR(__xludf.DUMMYFUNCTION("""COMPUTED_VALUE"""),"5 Hunger, +100 water Resist until rest")</f>
        <v>5 Hunger, +100 water Resist until rest</v>
      </c>
      <c r="C1087" s="2" t="str">
        <f>IFERROR(__xludf.DUMMYFUNCTION("""COMPUTED_VALUE"""),"Crop")</f>
        <v>Crop</v>
      </c>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2" t="str">
        <f>IFERROR(__xludf.DUMMYFUNCTION("""COMPUTED_VALUE"""),"Huge Teeth")</f>
        <v>Huge Teeth</v>
      </c>
      <c r="B1088" s="2" t="str">
        <f>IFERROR(__xludf.DUMMYFUNCTION("""COMPUTED_VALUE"""),"Worth 1000G at a shop.")</f>
        <v>Worth 1000G at a shop.</v>
      </c>
      <c r="C1088" s="2" t="str">
        <f>IFERROR(__xludf.DUMMYFUNCTION("""COMPUTED_VALUE"""),"Item")</f>
        <v>Item</v>
      </c>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2" t="str">
        <f>IFERROR(__xludf.DUMMYFUNCTION("""COMPUTED_VALUE"""),"Enchanted Teeth")</f>
        <v>Enchanted Teeth</v>
      </c>
      <c r="B1089" s="2" t="str">
        <f>IFERROR(__xludf.DUMMYFUNCTION("""COMPUTED_VALUE"""),"Worth 5000G at a shop.")</f>
        <v>Worth 5000G at a shop.</v>
      </c>
      <c r="C1089" s="2" t="str">
        <f>IFERROR(__xludf.DUMMYFUNCTION("""COMPUTED_VALUE"""),"Item")</f>
        <v>Item</v>
      </c>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2" t="str">
        <f>IFERROR(__xludf.DUMMYFUNCTION("""COMPUTED_VALUE"""),"Sea Dinosaur Bones")</f>
        <v>Sea Dinosaur Bones</v>
      </c>
      <c r="B1090" s="2" t="str">
        <f>IFERROR(__xludf.DUMMYFUNCTION("""COMPUTED_VALUE"""),"Crafting Material, roll a d20 to see how many you get if this is a loot drop.")</f>
        <v>Crafting Material, roll a d20 to see how many you get if this is a loot drop.</v>
      </c>
      <c r="C1090" s="2" t="str">
        <f>IFERROR(__xludf.DUMMYFUNCTION("""COMPUTED_VALUE"""),"Item")</f>
        <v>Item</v>
      </c>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2" t="str">
        <f>IFERROR(__xludf.DUMMYFUNCTION("""COMPUTED_VALUE"""),"Ancient Sea Dinosaur Egg")</f>
        <v>Ancient Sea Dinosaur Egg</v>
      </c>
      <c r="B1091" s="2"/>
      <c r="C1091" s="2" t="str">
        <f>IFERROR(__xludf.DUMMYFUNCTION("""COMPUTED_VALUE"""),"Item")</f>
        <v>Item</v>
      </c>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2" t="str">
        <f>IFERROR(__xludf.DUMMYFUNCTION("""COMPUTED_VALUE"""),"Water Abyss Key")</f>
        <v>Water Abyss Key</v>
      </c>
      <c r="B1092" s="2" t="str">
        <f>IFERROR(__xludf.DUMMYFUNCTION("""COMPUTED_VALUE"""),"Gain access to the Abyss Dungeon. Cannot be duplicated")</f>
        <v>Gain access to the Abyss Dungeon. Cannot be duplicated</v>
      </c>
      <c r="C1092" s="2" t="str">
        <f>IFERROR(__xludf.DUMMYFUNCTION("""COMPUTED_VALUE"""),"Item")</f>
        <v>Item</v>
      </c>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2" t="str">
        <f>IFERROR(__xludf.DUMMYFUNCTION("""COMPUTED_VALUE"""),"Fire Diamond")</f>
        <v>Fire Diamond</v>
      </c>
      <c r="B1093" s="2" t="str">
        <f>IFERROR(__xludf.DUMMYFUNCTION("""COMPUTED_VALUE"""),"Crafting Material, roll a d20 to see how many you get if this is a loot drop.")</f>
        <v>Crafting Material, roll a d20 to see how many you get if this is a loot drop.</v>
      </c>
      <c r="C1093" s="2" t="str">
        <f>IFERROR(__xludf.DUMMYFUNCTION("""COMPUTED_VALUE"""),"Item")</f>
        <v>Item</v>
      </c>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2" t="str">
        <f>IFERROR(__xludf.DUMMYFUNCTION("""COMPUTED_VALUE"""),"Giant Fire Diamond")</f>
        <v>Giant Fire Diamond</v>
      </c>
      <c r="B1094" s="2" t="str">
        <f>IFERROR(__xludf.DUMMYFUNCTION("""COMPUTED_VALUE"""),"Crafting Material, roll a d20 to see how many you get if this is a loot drop.")</f>
        <v>Crafting Material, roll a d20 to see how many you get if this is a loot drop.</v>
      </c>
      <c r="C1094" s="2" t="str">
        <f>IFERROR(__xludf.DUMMYFUNCTION("""COMPUTED_VALUE"""),"Item")</f>
        <v>Item</v>
      </c>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2" t="str">
        <f>IFERROR(__xludf.DUMMYFUNCTION("""COMPUTED_VALUE"""),"Heatmore Flame Golem Soul")</f>
        <v>Heatmore Flame Golem Soul</v>
      </c>
      <c r="B1095" s="2"/>
      <c r="C1095" s="2" t="str">
        <f>IFERROR(__xludf.DUMMYFUNCTION("""COMPUTED_VALUE"""),"Item")</f>
        <v>Item</v>
      </c>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2" t="str">
        <f>IFERROR(__xludf.DUMMYFUNCTION("""COMPUTED_VALUE"""),"Flaming Feathers")</f>
        <v>Flaming Feathers</v>
      </c>
      <c r="B1096" s="2" t="str">
        <f>IFERROR(__xludf.DUMMYFUNCTION("""COMPUTED_VALUE"""),"Crafting Material, roll a d20 to see how many you get if this is a loot drop.")</f>
        <v>Crafting Material, roll a d20 to see how many you get if this is a loot drop.</v>
      </c>
      <c r="C1096" s="2" t="str">
        <f>IFERROR(__xludf.DUMMYFUNCTION("""COMPUTED_VALUE"""),"Item")</f>
        <v>Item</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2" t="str">
        <f>IFERROR(__xludf.DUMMYFUNCTION("""COMPUTED_VALUE"""),"Flaming Horns")</f>
        <v>Flaming Horns</v>
      </c>
      <c r="B1097" s="2" t="str">
        <f>IFERROR(__xludf.DUMMYFUNCTION("""COMPUTED_VALUE"""),"Crafting Material, roll a d20 to see how many you get if this is a loot drop.")</f>
        <v>Crafting Material, roll a d20 to see how many you get if this is a loot drop.</v>
      </c>
      <c r="C1097" s="2" t="str">
        <f>IFERROR(__xludf.DUMMYFUNCTION("""COMPUTED_VALUE"""),"Item")</f>
        <v>Item</v>
      </c>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2" t="str">
        <f>IFERROR(__xludf.DUMMYFUNCTION("""COMPUTED_VALUE"""),"Cooked Yak Meat")</f>
        <v>Cooked Yak Meat</v>
      </c>
      <c r="B1098" s="2" t="str">
        <f>IFERROR(__xludf.DUMMYFUNCTION("""COMPUTED_VALUE"""),"Restores 10 hunger and energy")</f>
        <v>Restores 10 hunger and energy</v>
      </c>
      <c r="C1098" s="2" t="str">
        <f>IFERROR(__xludf.DUMMYFUNCTION("""COMPUTED_VALUE"""),"Crop")</f>
        <v>Crop</v>
      </c>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2" t="str">
        <f>IFERROR(__xludf.DUMMYFUNCTION("""COMPUTED_VALUE"""),"Leaf Of The Ancient Tree Of Flames")</f>
        <v>Leaf Of The Ancient Tree Of Flames</v>
      </c>
      <c r="B1099" s="2" t="str">
        <f>IFERROR(__xludf.DUMMYFUNCTION("""COMPUTED_VALUE"""),"Gain 1 free fire power of choosing. (Can only be obtained once per player)")</f>
        <v>Gain 1 free fire power of choosing. (Can only be obtained once per player)</v>
      </c>
      <c r="C1099" s="2" t="str">
        <f>IFERROR(__xludf.DUMMYFUNCTION("""COMPUTED_VALUE"""),"Item")</f>
        <v>Item</v>
      </c>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2" t="str">
        <f>IFERROR(__xludf.DUMMYFUNCTION("""COMPUTED_VALUE"""),"Ancient Volcanic Worm Egg")</f>
        <v>Ancient Volcanic Worm Egg</v>
      </c>
      <c r="B1100" s="2"/>
      <c r="C1100" s="2" t="str">
        <f>IFERROR(__xludf.DUMMYFUNCTION("""COMPUTED_VALUE"""),"Item")</f>
        <v>Item</v>
      </c>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2" t="str">
        <f>IFERROR(__xludf.DUMMYFUNCTION("""COMPUTED_VALUE"""),"Ancient Volcanic Worm Core")</f>
        <v>Ancient Volcanic Worm Core</v>
      </c>
      <c r="B1101" s="2" t="str">
        <f>IFERROR(__xludf.DUMMYFUNCTION("""COMPUTED_VALUE"""),"Consume to gain permanent 2000 fire resistance. (Can only obtain 1 per player)")</f>
        <v>Consume to gain permanent 2000 fire resistance. (Can only obtain 1 per player)</v>
      </c>
      <c r="C1101" s="2" t="str">
        <f>IFERROR(__xludf.DUMMYFUNCTION("""COMPUTED_VALUE"""),"Item")</f>
        <v>Item</v>
      </c>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2" t="str">
        <f>IFERROR(__xludf.DUMMYFUNCTION("""COMPUTED_VALUE"""),"Lava Tiger Skin")</f>
        <v>Lava Tiger Skin</v>
      </c>
      <c r="B1102" s="2" t="str">
        <f>IFERROR(__xludf.DUMMYFUNCTION("""COMPUTED_VALUE"""),"Crafting Material, roll a d20 to see how many you get if this is a loot drop.")</f>
        <v>Crafting Material, roll a d20 to see how many you get if this is a loot drop.</v>
      </c>
      <c r="C1102" s="2" t="str">
        <f>IFERROR(__xludf.DUMMYFUNCTION("""COMPUTED_VALUE"""),"Item")</f>
        <v>Item</v>
      </c>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2" t="str">
        <f>IFERROR(__xludf.DUMMYFUNCTION("""COMPUTED_VALUE"""),"Cooked Tiger Meat")</f>
        <v>Cooked Tiger Meat</v>
      </c>
      <c r="B1103" s="2" t="str">
        <f>IFERROR(__xludf.DUMMYFUNCTION("""COMPUTED_VALUE"""),"restores 20 hunger and energy")</f>
        <v>restores 20 hunger and energy</v>
      </c>
      <c r="C1103" s="2" t="str">
        <f>IFERROR(__xludf.DUMMYFUNCTION("""COMPUTED_VALUE"""),"Crop")</f>
        <v>Crop</v>
      </c>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2" t="str">
        <f>IFERROR(__xludf.DUMMYFUNCTION("""COMPUTED_VALUE"""),"Liches Eye")</f>
        <v>Liches Eye</v>
      </c>
      <c r="B1104" s="2" t="str">
        <f>IFERROR(__xludf.DUMMYFUNCTION("""COMPUTED_VALUE"""),"Consumable, 100= permanent +5 to accuracy")</f>
        <v>Consumable, 100= permanent +5 to accuracy</v>
      </c>
      <c r="C1104" s="2" t="str">
        <f>IFERROR(__xludf.DUMMYFUNCTION("""COMPUTED_VALUE"""),"Item")</f>
        <v>Item</v>
      </c>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2" t="str">
        <f>IFERROR(__xludf.DUMMYFUNCTION("""COMPUTED_VALUE"""),"Rank 9 Fire Tome")</f>
        <v>Rank 9 Fire Tome</v>
      </c>
      <c r="B1105" s="2" t="str">
        <f>IFERROR(__xludf.DUMMYFUNCTION("""COMPUTED_VALUE"""),"Can only obtain 1 per player")</f>
        <v>Can only obtain 1 per player</v>
      </c>
      <c r="C1105" s="2" t="str">
        <f>IFERROR(__xludf.DUMMYFUNCTION("""COMPUTED_VALUE"""),"Item")</f>
        <v>Item</v>
      </c>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2" t="str">
        <f>IFERROR(__xludf.DUMMYFUNCTION("""COMPUTED_VALUE"""),"Ancient Fire Serpent Egg")</f>
        <v>Ancient Fire Serpent Egg</v>
      </c>
      <c r="B1106" s="2"/>
      <c r="C1106" s="2" t="str">
        <f>IFERROR(__xludf.DUMMYFUNCTION("""COMPUTED_VALUE"""),"Item")</f>
        <v>Item</v>
      </c>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2" t="str">
        <f>IFERROR(__xludf.DUMMYFUNCTION("""COMPUTED_VALUE"""),"Demons Eye")</f>
        <v>Demons Eye</v>
      </c>
      <c r="B1107" s="2" t="str">
        <f>IFERROR(__xludf.DUMMYFUNCTION("""COMPUTED_VALUE"""),"Crafting Material, roll a d20 to see how many you get if this is a loot drop.")</f>
        <v>Crafting Material, roll a d20 to see how many you get if this is a loot drop.</v>
      </c>
      <c r="C1107" s="2" t="str">
        <f>IFERROR(__xludf.DUMMYFUNCTION("""COMPUTED_VALUE"""),"Item")</f>
        <v>Item</v>
      </c>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2" t="str">
        <f>IFERROR(__xludf.DUMMYFUNCTION("""COMPUTED_VALUE"""),"Demon Core")</f>
        <v>Demon Core</v>
      </c>
      <c r="B1108" s="2" t="str">
        <f>IFERROR(__xludf.DUMMYFUNCTION("""COMPUTED_VALUE"""),"Consumable, 1 free chaos power of choice. (Can only obtain 1 per player)")</f>
        <v>Consumable, 1 free chaos power of choice. (Can only obtain 1 per player)</v>
      </c>
      <c r="C1108" s="2" t="str">
        <f>IFERROR(__xludf.DUMMYFUNCTION("""COMPUTED_VALUE"""),"Item")</f>
        <v>Item</v>
      </c>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2" t="str">
        <f>IFERROR(__xludf.DUMMYFUNCTION("""COMPUTED_VALUE"""),"Sentinel Core")</f>
        <v>Sentinel Core</v>
      </c>
      <c r="B1109" s="2" t="str">
        <f>IFERROR(__xludf.DUMMYFUNCTION("""COMPUTED_VALUE"""),"Summon an Ancient Fire Sentinel to battle, Level determined by DM/GM. Can only be used once.")</f>
        <v>Summon an Ancient Fire Sentinel to battle, Level determined by DM/GM. Can only be used once.</v>
      </c>
      <c r="C1109" s="2" t="str">
        <f>IFERROR(__xludf.DUMMYFUNCTION("""COMPUTED_VALUE"""),"Item")</f>
        <v>Item</v>
      </c>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2" t="str">
        <f>IFERROR(__xludf.DUMMYFUNCTION("""COMPUTED_VALUE"""),"Fire Gem")</f>
        <v>Fire Gem</v>
      </c>
      <c r="B1110" s="2" t="str">
        <f>IFERROR(__xludf.DUMMYFUNCTION("""COMPUTED_VALUE"""),"Crafting Material, roll a d20 to see how many you get if this is a loot drop.")</f>
        <v>Crafting Material, roll a d20 to see how many you get if this is a loot drop.</v>
      </c>
      <c r="C1110" s="2" t="str">
        <f>IFERROR(__xludf.DUMMYFUNCTION("""COMPUTED_VALUE"""),"Item")</f>
        <v>Item</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2" t="str">
        <f>IFERROR(__xludf.DUMMYFUNCTION("""COMPUTED_VALUE"""),"Aquatic Diamond")</f>
        <v>Aquatic Diamond</v>
      </c>
      <c r="B1111" s="2" t="str">
        <f>IFERROR(__xludf.DUMMYFUNCTION("""COMPUTED_VALUE"""),"Crafting Material, roll a d20 to see how many you get if this is a loot drop.")</f>
        <v>Crafting Material, roll a d20 to see how many you get if this is a loot drop.</v>
      </c>
      <c r="C1111" s="2" t="str">
        <f>IFERROR(__xludf.DUMMYFUNCTION("""COMPUTED_VALUE"""),"Item")</f>
        <v>Item</v>
      </c>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2" t="str">
        <f>IFERROR(__xludf.DUMMYFUNCTION("""COMPUTED_VALUE"""),"Corrupted Twilight Knight Soul")</f>
        <v>Corrupted Twilight Knight Soul</v>
      </c>
      <c r="B1112" s="2"/>
      <c r="C1112" s="2" t="str">
        <f>IFERROR(__xludf.DUMMYFUNCTION("""COMPUTED_VALUE"""),"Item")</f>
        <v>Item</v>
      </c>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2" t="str">
        <f>IFERROR(__xludf.DUMMYFUNCTION("""COMPUTED_VALUE"""),"Hay")</f>
        <v>Hay</v>
      </c>
      <c r="B1113" s="2" t="str">
        <f>IFERROR(__xludf.DUMMYFUNCTION("""COMPUTED_VALUE"""),"Restores 5 hunger.")</f>
        <v>Restores 5 hunger.</v>
      </c>
      <c r="C1113" s="2" t="str">
        <f>IFERROR(__xludf.DUMMYFUNCTION("""COMPUTED_VALUE"""),"Crop")</f>
        <v>Crop</v>
      </c>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2" t="str">
        <f>IFERROR(__xludf.DUMMYFUNCTION("""COMPUTED_VALUE"""),"Shadow Suit of armor Soul")</f>
        <v>Shadow Suit of armor Soul</v>
      </c>
      <c r="B1114" s="2"/>
      <c r="C1114" s="2" t="str">
        <f>IFERROR(__xludf.DUMMYFUNCTION("""COMPUTED_VALUE"""),"Item")</f>
        <v>Item</v>
      </c>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2" t="str">
        <f>IFERROR(__xludf.DUMMYFUNCTION("""COMPUTED_VALUE"""),"Mana Potion")</f>
        <v>Mana Potion</v>
      </c>
      <c r="B1115" s="2" t="str">
        <f>IFERROR(__xludf.DUMMYFUNCTION("""COMPUTED_VALUE"""),"Regain 10 SP")</f>
        <v>Regain 10 SP</v>
      </c>
      <c r="C1115" s="2" t="str">
        <f>IFERROR(__xludf.DUMMYFUNCTION("""COMPUTED_VALUE"""),"Item")</f>
        <v>Item</v>
      </c>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2" t="str">
        <f>IFERROR(__xludf.DUMMYFUNCTION("""COMPUTED_VALUE"""),"Werewolf Pelt")</f>
        <v>Werewolf Pelt</v>
      </c>
      <c r="B1116" s="2" t="str">
        <f>IFERROR(__xludf.DUMMYFUNCTION("""COMPUTED_VALUE"""),"Crafting Material, roll a d20 to see how many you get if this is a loot drop.")</f>
        <v>Crafting Material, roll a d20 to see how many you get if this is a loot drop.</v>
      </c>
      <c r="C1116" s="2" t="str">
        <f>IFERROR(__xludf.DUMMYFUNCTION("""COMPUTED_VALUE"""),"Item")</f>
        <v>Item</v>
      </c>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2" t="str">
        <f>IFERROR(__xludf.DUMMYFUNCTION("""COMPUTED_VALUE"""),"Halloween Emerald")</f>
        <v>Halloween Emerald</v>
      </c>
      <c r="B1117" s="2" t="str">
        <f>IFERROR(__xludf.DUMMYFUNCTION("""COMPUTED_VALUE"""),"Crafting Material, roll a d20 to see how many you get if this is a loot drop.")</f>
        <v>Crafting Material, roll a d20 to see how many you get if this is a loot drop.</v>
      </c>
      <c r="C1117" s="2" t="str">
        <f>IFERROR(__xludf.DUMMYFUNCTION("""COMPUTED_VALUE"""),"Item")</f>
        <v>Item</v>
      </c>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2" t="str">
        <f>IFERROR(__xludf.DUMMYFUNCTION("""COMPUTED_VALUE"""),"Giant Halloween Diamond")</f>
        <v>Giant Halloween Diamond</v>
      </c>
      <c r="B1118" s="2" t="str">
        <f>IFERROR(__xludf.DUMMYFUNCTION("""COMPUTED_VALUE"""),"Crafting Material, roll a d20 to see how many you get if this is a loot drop.")</f>
        <v>Crafting Material, roll a d20 to see how many you get if this is a loot drop.</v>
      </c>
      <c r="C1118" s="2" t="str">
        <f>IFERROR(__xludf.DUMMYFUNCTION("""COMPUTED_VALUE"""),"Item")</f>
        <v>Item</v>
      </c>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2" t="str">
        <f>IFERROR(__xludf.DUMMYFUNCTION("""COMPUTED_VALUE"""),"Rank 9 Twilight Tome")</f>
        <v>Rank 9 Twilight Tome</v>
      </c>
      <c r="B1119" s="2" t="str">
        <f>IFERROR(__xludf.DUMMYFUNCTION("""COMPUTED_VALUE"""),"Allows use of up to Rank 9 Twilight Powers")</f>
        <v>Allows use of up to Rank 9 Twilight Powers</v>
      </c>
      <c r="C1119" s="2" t="str">
        <f>IFERROR(__xludf.DUMMYFUNCTION("""COMPUTED_VALUE"""),"Item")</f>
        <v>Item</v>
      </c>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2" t="str">
        <f>IFERROR(__xludf.DUMMYFUNCTION("""COMPUTED_VALUE"""),"Stasis Tome Rank 9")</f>
        <v>Stasis Tome Rank 9</v>
      </c>
      <c r="B1120" s="2" t="str">
        <f>IFERROR(__xludf.DUMMYFUNCTION("""COMPUTED_VALUE"""),"Allows use of up to Rank 9 Stasis Powers")</f>
        <v>Allows use of up to Rank 9 Stasis Powers</v>
      </c>
      <c r="C1120" s="2" t="str">
        <f>IFERROR(__xludf.DUMMYFUNCTION("""COMPUTED_VALUE"""),"Item")</f>
        <v>Item</v>
      </c>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2" t="str">
        <f>IFERROR(__xludf.DUMMYFUNCTION("""COMPUTED_VALUE"""),"Celestial Core")</f>
        <v>Celestial Core</v>
      </c>
      <c r="B1121" s="2" t="str">
        <f>IFERROR(__xludf.DUMMYFUNCTION("""COMPUTED_VALUE"""),"Crafting Material, roll a d20 to see how many you get if this is a loot drop.")</f>
        <v>Crafting Material, roll a d20 to see how many you get if this is a loot drop.</v>
      </c>
      <c r="C1121" s="2" t="str">
        <f>IFERROR(__xludf.DUMMYFUNCTION("""COMPUTED_VALUE"""),"Item")</f>
        <v>Item</v>
      </c>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2" t="str">
        <f>IFERROR(__xludf.DUMMYFUNCTION("""COMPUTED_VALUE"""),"Vampires Tooth")</f>
        <v>Vampires Tooth</v>
      </c>
      <c r="B1122" s="2" t="str">
        <f>IFERROR(__xludf.DUMMYFUNCTION("""COMPUTED_VALUE"""),"Crafting Material, roll a d20 to see how many you get if this is a loot drop.")</f>
        <v>Crafting Material, roll a d20 to see how many you get if this is a loot drop.</v>
      </c>
      <c r="C1122" s="2" t="str">
        <f>IFERROR(__xludf.DUMMYFUNCTION("""COMPUTED_VALUE"""),"Item")</f>
        <v>Item</v>
      </c>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2" t="str">
        <f>IFERROR(__xludf.DUMMYFUNCTION("""COMPUTED_VALUE"""),"Cursed Statue Of Knowing")</f>
        <v>Cursed Statue Of Knowing</v>
      </c>
      <c r="B1123" s="2" t="str">
        <f>IFERROR(__xludf.DUMMYFUNCTION("""COMPUTED_VALUE"""),"Quest item.")</f>
        <v>Quest item.</v>
      </c>
      <c r="C1123" s="2" t="str">
        <f>IFERROR(__xludf.DUMMYFUNCTION("""COMPUTED_VALUE"""),"Item")</f>
        <v>Item</v>
      </c>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2" t="str">
        <f>IFERROR(__xludf.DUMMYFUNCTION("""COMPUTED_VALUE"""),"Orb Of Shadows")</f>
        <v>Orb Of Shadows</v>
      </c>
      <c r="B1124" s="2" t="str">
        <f>IFERROR(__xludf.DUMMYFUNCTION("""COMPUTED_VALUE"""),"Quest item.")</f>
        <v>Quest item.</v>
      </c>
      <c r="C1124" s="2" t="str">
        <f>IFERROR(__xludf.DUMMYFUNCTION("""COMPUTED_VALUE"""),"Item")</f>
        <v>Item</v>
      </c>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2" t="str">
        <f>IFERROR(__xludf.DUMMYFUNCTION("""COMPUTED_VALUE"""),"Blessed Torch")</f>
        <v>Blessed Torch</v>
      </c>
      <c r="B1125" s="2" t="str">
        <f>IFERROR(__xludf.DUMMYFUNCTION("""COMPUTED_VALUE"""),"Lights a bonfire. (guaranteed drop)")</f>
        <v>Lights a bonfire. (guaranteed drop)</v>
      </c>
      <c r="C1125" s="2" t="str">
        <f>IFERROR(__xludf.DUMMYFUNCTION("""COMPUTED_VALUE"""),"Item")</f>
        <v>Item</v>
      </c>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2" t="str">
        <f>IFERROR(__xludf.DUMMYFUNCTION("""COMPUTED_VALUE"""),"Pebble of Fertility")</f>
        <v>Pebble of Fertility</v>
      </c>
      <c r="B1126" s="2" t="str">
        <f>IFERROR(__xludf.DUMMYFUNCTION("""COMPUTED_VALUE"""),"double the loot when consumed before battle.")</f>
        <v>double the loot when consumed before battle.</v>
      </c>
      <c r="C1126" s="2" t="str">
        <f>IFERROR(__xludf.DUMMYFUNCTION("""COMPUTED_VALUE"""),"Item")</f>
        <v>Item</v>
      </c>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2" t="str">
        <f>IFERROR(__xludf.DUMMYFUNCTION("""COMPUTED_VALUE"""),"Forest Faery Egg")</f>
        <v>Forest Faery Egg</v>
      </c>
      <c r="B1127" s="2" t="str">
        <f>IFERROR(__xludf.DUMMYFUNCTION("""COMPUTED_VALUE"""),"Gives a Faery companion (60) (must be in a forest for the egg to hatch)")</f>
        <v>Gives a Faery companion (60) (must be in a forest for the egg to hatch)</v>
      </c>
      <c r="C1127" s="2" t="str">
        <f>IFERROR(__xludf.DUMMYFUNCTION("""COMPUTED_VALUE"""),"Item")</f>
        <v>Item</v>
      </c>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2" t="str">
        <f>IFERROR(__xludf.DUMMYFUNCTION("""COMPUTED_VALUE"""),"Pandan flower")</f>
        <v>Pandan flower</v>
      </c>
      <c r="B1128" s="2" t="str">
        <f>IFERROR(__xludf.DUMMYFUNCTION("""COMPUTED_VALUE"""),"Cures 1 curse")</f>
        <v>Cures 1 curse</v>
      </c>
      <c r="C1128" s="2" t="str">
        <f>IFERROR(__xludf.DUMMYFUNCTION("""COMPUTED_VALUE"""),"Item")</f>
        <v>Item</v>
      </c>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2" t="str">
        <f>IFERROR(__xludf.DUMMYFUNCTION("""COMPUTED_VALUE"""),"Rank 5 Earth Tome")</f>
        <v>Rank 5 Earth Tome</v>
      </c>
      <c r="B1129" s="2" t="str">
        <f>IFERROR(__xludf.DUMMYFUNCTION("""COMPUTED_VALUE"""),"Allows use of up to Rank 5 Earth Powers")</f>
        <v>Allows use of up to Rank 5 Earth Powers</v>
      </c>
      <c r="C1129" s="2" t="str">
        <f>IFERROR(__xludf.DUMMYFUNCTION("""COMPUTED_VALUE"""),"Item")</f>
        <v>Item</v>
      </c>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2" t="str">
        <f>IFERROR(__xludf.DUMMYFUNCTION("""COMPUTED_VALUE"""),"Earth Gem")</f>
        <v>Earth Gem</v>
      </c>
      <c r="B1130" s="2" t="str">
        <f>IFERROR(__xludf.DUMMYFUNCTION("""COMPUTED_VALUE"""),"Crafting Material, roll a d20 to see how many you get if this is a loot drop.")</f>
        <v>Crafting Material, roll a d20 to see how many you get if this is a loot drop.</v>
      </c>
      <c r="C1130" s="2" t="str">
        <f>IFERROR(__xludf.DUMMYFUNCTION("""COMPUTED_VALUE"""),"Item")</f>
        <v>Item</v>
      </c>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2" t="str">
        <f>IFERROR(__xludf.DUMMYFUNCTION("""COMPUTED_VALUE"""),"Key Of Knowledge")</f>
        <v>Key Of Knowledge</v>
      </c>
      <c r="B1131" s="2" t="str">
        <f>IFERROR(__xludf.DUMMYFUNCTION("""COMPUTED_VALUE"""),"grants access to the room of knowledge")</f>
        <v>grants access to the room of knowledge</v>
      </c>
      <c r="C1131" s="2" t="str">
        <f>IFERROR(__xludf.DUMMYFUNCTION("""COMPUTED_VALUE"""),"Item")</f>
        <v>Item</v>
      </c>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2" t="str">
        <f>IFERROR(__xludf.DUMMYFUNCTION("""COMPUTED_VALUE"""),"Medallion 1")</f>
        <v>Medallion 1</v>
      </c>
      <c r="B1132" s="2" t="str">
        <f>IFERROR(__xludf.DUMMYFUNCTION("""COMPUTED_VALUE"""),"Grants access to the Ruins of Mana.")</f>
        <v>Grants access to the Ruins of Mana.</v>
      </c>
      <c r="C1132" s="2" t="str">
        <f>IFERROR(__xludf.DUMMYFUNCTION("""COMPUTED_VALUE"""),"Item")</f>
        <v>Item</v>
      </c>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2" t="str">
        <f>IFERROR(__xludf.DUMMYFUNCTION("""COMPUTED_VALUE"""),"Medallion 2")</f>
        <v>Medallion 2</v>
      </c>
      <c r="B1133" s="2" t="str">
        <f>IFERROR(__xludf.DUMMYFUNCTION("""COMPUTED_VALUE"""),"Grants access to the Ruins of Mana.")</f>
        <v>Grants access to the Ruins of Mana.</v>
      </c>
      <c r="C1133" s="2" t="str">
        <f>IFERROR(__xludf.DUMMYFUNCTION("""COMPUTED_VALUE"""),"Item")</f>
        <v>Item</v>
      </c>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2" t="str">
        <f>IFERROR(__xludf.DUMMYFUNCTION("""COMPUTED_VALUE"""),"Medallion 3")</f>
        <v>Medallion 3</v>
      </c>
      <c r="B1134" s="2" t="str">
        <f>IFERROR(__xludf.DUMMYFUNCTION("""COMPUTED_VALUE"""),"Grants access to the Ruins of Mana.")</f>
        <v>Grants access to the Ruins of Mana.</v>
      </c>
      <c r="C1134" s="2" t="str">
        <f>IFERROR(__xludf.DUMMYFUNCTION("""COMPUTED_VALUE"""),"Item")</f>
        <v>Item</v>
      </c>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2" t="str">
        <f>IFERROR(__xludf.DUMMYFUNCTION("""COMPUTED_VALUE"""),"Medallion 4")</f>
        <v>Medallion 4</v>
      </c>
      <c r="B1135" s="2" t="str">
        <f>IFERROR(__xludf.DUMMYFUNCTION("""COMPUTED_VALUE"""),"Grants access to the Ruins of Mana.")</f>
        <v>Grants access to the Ruins of Mana.</v>
      </c>
      <c r="C1135" s="2" t="str">
        <f>IFERROR(__xludf.DUMMYFUNCTION("""COMPUTED_VALUE"""),"Item")</f>
        <v>Item</v>
      </c>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2" t="str">
        <f>IFERROR(__xludf.DUMMYFUNCTION("""COMPUTED_VALUE"""),"Enchanted Ice Gem")</f>
        <v>Enchanted Ice Gem</v>
      </c>
      <c r="B1136" s="2" t="str">
        <f>IFERROR(__xludf.DUMMYFUNCTION("""COMPUTED_VALUE"""),"Crafting Material, roll a d20 to see how many you get if this is a loot drop., can be forged into an weapon to give it +5%  chance of freezing 1 target. can forge multiple of these gems together to increase the percentage to a max of 100%")</f>
        <v>Crafting Material, roll a d20 to see how many you get if this is a loot drop., can be forged into an weapon to give it +5%  chance of freezing 1 target. can forge multiple of these gems together to increase the percentage to a max of 100%</v>
      </c>
      <c r="C1136" s="2" t="str">
        <f>IFERROR(__xludf.DUMMYFUNCTION("""COMPUTED_VALUE"""),"Item")</f>
        <v>Item</v>
      </c>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2" t="str">
        <f>IFERROR(__xludf.DUMMYFUNCTION("""COMPUTED_VALUE"""),"Carnelian Crystal")</f>
        <v>Carnelian Crystal</v>
      </c>
      <c r="B1137" s="2" t="str">
        <f>IFERROR(__xludf.DUMMYFUNCTION("""COMPUTED_VALUE"""),"Can be forged into armor, one crystal max inside forged equipment. +2 Mobility  ")</f>
        <v>Can be forged into armor, one crystal max inside forged equipment. +2 Mobility  </v>
      </c>
      <c r="C1137" s="2" t="str">
        <f>IFERROR(__xludf.DUMMYFUNCTION("""COMPUTED_VALUE"""),"Item")</f>
        <v>Item</v>
      </c>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2" t="str">
        <f>IFERROR(__xludf.DUMMYFUNCTION("""COMPUTED_VALUE"""),"Citrine Crystal")</f>
        <v>Citrine Crystal</v>
      </c>
      <c r="B1138" s="2" t="str">
        <f>IFERROR(__xludf.DUMMYFUNCTION("""COMPUTED_VALUE"""),"Can be forged into armor, one crystal max inside forged equipment. 25% chance to move up one spot in the turn order this effect is unnaffected by other forged items/effects.")</f>
        <v>Can be forged into armor, one crystal max inside forged equipment. 25% chance to move up one spot in the turn order this effect is unnaffected by other forged items/effects.</v>
      </c>
      <c r="C1138" s="2" t="str">
        <f>IFERROR(__xludf.DUMMYFUNCTION("""COMPUTED_VALUE"""),"Item")</f>
        <v>Item</v>
      </c>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2" t="str">
        <f>IFERROR(__xludf.DUMMYFUNCTION("""COMPUTED_VALUE"""),"Tiger's Eye Crystal")</f>
        <v>Tiger's Eye Crystal</v>
      </c>
      <c r="B1139" s="2" t="str">
        <f>IFERROR(__xludf.DUMMYFUNCTION("""COMPUTED_VALUE"""),"Can be forged into a weapon, one crystal max inside forged equipment. 25% chance to dodge an attack, this effect is unnaffected by other forged items/effects.")</f>
        <v>Can be forged into a weapon, one crystal max inside forged equipment. 25% chance to dodge an attack, this effect is unnaffected by other forged items/effects.</v>
      </c>
      <c r="C1139" s="2" t="str">
        <f>IFERROR(__xludf.DUMMYFUNCTION("""COMPUTED_VALUE"""),"Item")</f>
        <v>Item</v>
      </c>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2" t="str">
        <f>IFERROR(__xludf.DUMMYFUNCTION("""COMPUTED_VALUE"""),"Lodestone Crystal")</f>
        <v>Lodestone Crystal</v>
      </c>
      <c r="B1140" s="2" t="str">
        <f>IFERROR(__xludf.DUMMYFUNCTION("""COMPUTED_VALUE"""),"Can be forged into a weapon, one crystal max inside forged equipment. absorbs the first attack of each battle.")</f>
        <v>Can be forged into a weapon, one crystal max inside forged equipment. absorbs the first attack of each battle.</v>
      </c>
      <c r="C1140" s="2" t="str">
        <f>IFERROR(__xludf.DUMMYFUNCTION("""COMPUTED_VALUE"""),"Item")</f>
        <v>Item</v>
      </c>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2" t="str">
        <f>IFERROR(__xludf.DUMMYFUNCTION("""COMPUTED_VALUE"""),"Peridot Crystal")</f>
        <v>Peridot Crystal</v>
      </c>
      <c r="B1141" s="2" t="str">
        <f>IFERROR(__xludf.DUMMYFUNCTION("""COMPUTED_VALUE"""),"Can be forged into a armor, one crystal max inside forged equipment. +300HP per round.")</f>
        <v>Can be forged into a armor, one crystal max inside forged equipment. +300HP per round.</v>
      </c>
      <c r="C1141" s="2" t="str">
        <f>IFERROR(__xludf.DUMMYFUNCTION("""COMPUTED_VALUE"""),"Item")</f>
        <v>Item</v>
      </c>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2" t="str">
        <f>IFERROR(__xludf.DUMMYFUNCTION("""COMPUTED_VALUE"""),"Golden Topaz")</f>
        <v>Golden Topaz</v>
      </c>
      <c r="B1142" s="2" t="str">
        <f>IFERROR(__xludf.DUMMYFUNCTION("""COMPUTED_VALUE"""),"Can be forged into a armor, one crystal max inside forged equipment. 50% chance to cure a curse for user only while cursed, this effect is unnaffected by other forged items/effects.")</f>
        <v>Can be forged into a armor, one crystal max inside forged equipment. 50% chance to cure a curse for user only while cursed, this effect is unnaffected by other forged items/effects.</v>
      </c>
      <c r="C1142" s="2" t="str">
        <f>IFERROR(__xludf.DUMMYFUNCTION("""COMPUTED_VALUE"""),"Item")</f>
        <v>Item</v>
      </c>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2" t="str">
        <f>IFERROR(__xludf.DUMMYFUNCTION("""COMPUTED_VALUE"""),"Sea Crystal ")</f>
        <v>Sea Crystal </v>
      </c>
      <c r="B1143" s="2" t="str">
        <f>IFERROR(__xludf.DUMMYFUNCTION("""COMPUTED_VALUE"""),"Can be forged into an item. all water damage now gives hp and sp back equal to the amount of damage caused. Cannot be duplicated.")</f>
        <v>Can be forged into an item. all water damage now gives hp and sp back equal to the amount of damage caused. Cannot be duplicated.</v>
      </c>
      <c r="C1143" s="2" t="str">
        <f>IFERROR(__xludf.DUMMYFUNCTION("""COMPUTED_VALUE"""),"Item")</f>
        <v>Item</v>
      </c>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2" t="str">
        <f>IFERROR(__xludf.DUMMYFUNCTION("""COMPUTED_VALUE"""),"The Root Of Nature")</f>
        <v>The Root Of Nature</v>
      </c>
      <c r="B1144" s="2" t="str">
        <f>IFERROR(__xludf.DUMMYFUNCTION("""COMPUTED_VALUE"""),"Can be brewed into a potion then consumed to give the user permanant immunity to nature and give the user a permanant x10 to nature damage. Cannot be duplicated.")</f>
        <v>Can be brewed into a potion then consumed to give the user permanant immunity to nature and give the user a permanant x10 to nature damage. Cannot be duplicated.</v>
      </c>
      <c r="C1144" s="2" t="str">
        <f>IFERROR(__xludf.DUMMYFUNCTION("""COMPUTED_VALUE"""),"Item")</f>
        <v>Item</v>
      </c>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2" t="str">
        <f>IFERROR(__xludf.DUMMYFUNCTION("""COMPUTED_VALUE"""),"Rich Sand")</f>
        <v>Rich Sand</v>
      </c>
      <c r="B1145" s="2" t="str">
        <f>IFERROR(__xludf.DUMMYFUNCTION("""COMPUTED_VALUE"""),"can be forged into armor to give the user an immunity to earth and X10 earth damage. Cannot be duplicated.")</f>
        <v>can be forged into armor to give the user an immunity to earth and X10 earth damage. Cannot be duplicated.</v>
      </c>
      <c r="C1145" s="2" t="str">
        <f>IFERROR(__xludf.DUMMYFUNCTION("""COMPUTED_VALUE"""),"Item")</f>
        <v>Item</v>
      </c>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2" t="str">
        <f>IFERROR(__xludf.DUMMYFUNCTION("""COMPUTED_VALUE"""),"Sacred Sap")</f>
        <v>Sacred Sap</v>
      </c>
      <c r="B1146" s="2" t="str">
        <f>IFERROR(__xludf.DUMMYFUNCTION("""COMPUTED_VALUE"""),"Can be brewed into a potion then consumed to gain 200 levels. Cannot be duplicated.")</f>
        <v>Can be brewed into a potion then consumed to gain 200 levels. Cannot be duplicated.</v>
      </c>
      <c r="C1146" s="2" t="str">
        <f>IFERROR(__xludf.DUMMYFUNCTION("""COMPUTED_VALUE"""),"Item")</f>
        <v>Item</v>
      </c>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2" t="str">
        <f>IFERROR(__xludf.DUMMYFUNCTION("""COMPUTED_VALUE"""),"Frozen Shard")</f>
        <v>Frozen Shard</v>
      </c>
      <c r="B1147" s="2" t="str">
        <f>IFERROR(__xludf.DUMMYFUNCTION("""COMPUTED_VALUE"""),"Can be forged into a weapon to give it a 100% chance to freeze a target it hits, or forged into a piece of armor to give you immunity to freezing. Cannot be duplicated.")</f>
        <v>Can be forged into a weapon to give it a 100% chance to freeze a target it hits, or forged into a piece of armor to give you immunity to freezing. Cannot be duplicated.</v>
      </c>
      <c r="C1147" s="2" t="str">
        <f>IFERROR(__xludf.DUMMYFUNCTION("""COMPUTED_VALUE"""),"Item")</f>
        <v>Item</v>
      </c>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2" t="str">
        <f>IFERROR(__xludf.DUMMYFUNCTION("""COMPUTED_VALUE"""),"Tome of Chaotic Darkness")</f>
        <v>Tome of Chaotic Darkness</v>
      </c>
      <c r="B1148" s="2" t="str">
        <f>IFERROR(__xludf.DUMMYFUNCTION("""COMPUTED_VALUE"""),"Allows use of up to Rank 9 Dark and Chaos Powers.")</f>
        <v>Allows use of up to Rank 9 Dark and Chaos Powers.</v>
      </c>
      <c r="C1148" s="2" t="str">
        <f>IFERROR(__xludf.DUMMYFUNCTION("""COMPUTED_VALUE"""),"Item")</f>
        <v>Item</v>
      </c>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2" t="str">
        <f>IFERROR(__xludf.DUMMYFUNCTION("""COMPUTED_VALUE"""),"The Land of The Forgotten Map")</f>
        <v>The Land of The Forgotten Map</v>
      </c>
      <c r="B1149" s="2" t="str">
        <f>IFERROR(__xludf.DUMMYFUNCTION("""COMPUTED_VALUE"""),"Shows you where to find The Land of The Forgotten.")</f>
        <v>Shows you where to find The Land of The Forgotten.</v>
      </c>
      <c r="C1149" s="2" t="str">
        <f>IFERROR(__xludf.DUMMYFUNCTION("""COMPUTED_VALUE"""),"Item")</f>
        <v>Item</v>
      </c>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2" t="str">
        <f>IFERROR(__xludf.DUMMYFUNCTION("""COMPUTED_VALUE"""),"Corn On The Cob")</f>
        <v>Corn On The Cob</v>
      </c>
      <c r="B1150" s="2" t="str">
        <f>IFERROR(__xludf.DUMMYFUNCTION("""COMPUTED_VALUE"""),"Restores 10 hunger.")</f>
        <v>Restores 10 hunger.</v>
      </c>
      <c r="C1150" s="2" t="str">
        <f>IFERROR(__xludf.DUMMYFUNCTION("""COMPUTED_VALUE"""),"Crop")</f>
        <v>Crop</v>
      </c>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2" t="str">
        <f>IFERROR(__xludf.DUMMYFUNCTION("""COMPUTED_VALUE"""),"Festival Bread Loaf")</f>
        <v>Festival Bread Loaf</v>
      </c>
      <c r="B1151" s="2" t="str">
        <f>IFERROR(__xludf.DUMMYFUNCTION("""COMPUTED_VALUE"""),"Restores 30 hunger and decreases 10 thirst.")</f>
        <v>Restores 30 hunger and decreases 10 thirst.</v>
      </c>
      <c r="C1151" s="2" t="str">
        <f>IFERROR(__xludf.DUMMYFUNCTION("""COMPUTED_VALUE"""),"Crop")</f>
        <v>Crop</v>
      </c>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2" t="str">
        <f>IFERROR(__xludf.DUMMYFUNCTION("""COMPUTED_VALUE"""),"Fruit Cake")</f>
        <v>Fruit Cake</v>
      </c>
      <c r="B1152" s="2" t="str">
        <f>IFERROR(__xludf.DUMMYFUNCTION("""COMPUTED_VALUE"""),"Restores 20 energy and hunger")</f>
        <v>Restores 20 energy and hunger</v>
      </c>
      <c r="C1152" s="2" t="str">
        <f>IFERROR(__xludf.DUMMYFUNCTION("""COMPUTED_VALUE"""),"Crop")</f>
        <v>Crop</v>
      </c>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2" t="str">
        <f>IFERROR(__xludf.DUMMYFUNCTION("""COMPUTED_VALUE"""),"Festival Mead")</f>
        <v>Festival Mead</v>
      </c>
      <c r="B1153" s="2" t="str">
        <f>IFERROR(__xludf.DUMMYFUNCTION("""COMPUTED_VALUE"""),"Restores 20 thirst.")</f>
        <v>Restores 20 thirst.</v>
      </c>
      <c r="C1153" s="2" t="str">
        <f>IFERROR(__xludf.DUMMYFUNCTION("""COMPUTED_VALUE"""),"Item")</f>
        <v>Item</v>
      </c>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2" t="str">
        <f>IFERROR(__xludf.DUMMYFUNCTION("""COMPUTED_VALUE"""),"Lemonade")</f>
        <v>Lemonade</v>
      </c>
      <c r="B1154" s="2" t="str">
        <f>IFERROR(__xludf.DUMMYFUNCTION("""COMPUTED_VALUE"""),"Restores 10 thirst and energy.")</f>
        <v>Restores 10 thirst and energy.</v>
      </c>
      <c r="C1154" s="2" t="str">
        <f>IFERROR(__xludf.DUMMYFUNCTION("""COMPUTED_VALUE"""),"Item")</f>
        <v>Item</v>
      </c>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2" t="str">
        <f>IFERROR(__xludf.DUMMYFUNCTION("""COMPUTED_VALUE"""),"Forbidden Amulet Shard")</f>
        <v>Forbidden Amulet Shard</v>
      </c>
      <c r="B1155" s="2" t="str">
        <f>IFERROR(__xludf.DUMMYFUNCTION("""COMPUTED_VALUE"""),"A piece of shard that is used to create The Forbidden Amulet of The Halloween Kingdom when you collect all of the pieces.")</f>
        <v>A piece of shard that is used to create The Forbidden Amulet of The Halloween Kingdom when you collect all of the pieces.</v>
      </c>
      <c r="C1155" s="2" t="str">
        <f>IFERROR(__xludf.DUMMYFUNCTION("""COMPUTED_VALUE"""),"Item")</f>
        <v>Item</v>
      </c>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2" t="str">
        <f>IFERROR(__xludf.DUMMYFUNCTION("""COMPUTED_VALUE"""),"The Forbidden Amulet of The Halloween Kingdom.")</f>
        <v>The Forbidden Amulet of The Halloween Kingdom.</v>
      </c>
      <c r="B1156" s="2" t="str">
        <f>IFERROR(__xludf.DUMMYFUNCTION("""COMPUTED_VALUE"""),"An amulet used to break the barrier on Lord Dreadfuls castle in the Halloween Kingdom.")</f>
        <v>An amulet used to break the barrier on Lord Dreadfuls castle in the Halloween Kingdom.</v>
      </c>
      <c r="C1156" s="2" t="str">
        <f>IFERROR(__xludf.DUMMYFUNCTION("""COMPUTED_VALUE"""),"Item")</f>
        <v>Item</v>
      </c>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2" t="str">
        <f>IFERROR(__xludf.DUMMYFUNCTION("""COMPUTED_VALUE"""),"Slime Jelly")</f>
        <v>Slime Jelly</v>
      </c>
      <c r="B1157" s="2" t="str">
        <f>IFERROR(__xludf.DUMMYFUNCTION("""COMPUTED_VALUE"""),"Restores 50 HP, 75 Mana, 50 Hunger, and 50 Thirst, -30 Energy cause it tastes bad")</f>
        <v>Restores 50 HP, 75 Mana, 50 Hunger, and 50 Thirst, -30 Energy cause it tastes bad</v>
      </c>
      <c r="C1157" s="2" t="str">
        <f>IFERROR(__xludf.DUMMYFUNCTION("""COMPUTED_VALUE"""),"Crop")</f>
        <v>Crop</v>
      </c>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2" t="str">
        <f>IFERROR(__xludf.DUMMYFUNCTION("""COMPUTED_VALUE"""),"Broken Robot")</f>
        <v>Broken Robot</v>
      </c>
      <c r="B1158" s="2" t="str">
        <f>IFERROR(__xludf.DUMMYFUNCTION("""COMPUTED_VALUE"""),"An item that is purchased and given to a mysterious cloaked figure. ")</f>
        <v>An item that is purchased and given to a mysterious cloaked figure. </v>
      </c>
      <c r="C1158" s="2" t="str">
        <f>IFERROR(__xludf.DUMMYFUNCTION("""COMPUTED_VALUE"""),"Item")</f>
        <v>Item</v>
      </c>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2" t="str">
        <f>IFERROR(__xludf.DUMMYFUNCTION("""COMPUTED_VALUE"""),"Boar Hide")</f>
        <v>Boar Hide</v>
      </c>
      <c r="B1159" s="2" t="str">
        <f>IFERROR(__xludf.DUMMYFUNCTION("""COMPUTED_VALUE"""),"Crafting Material, roll a d20 to see how many you get if this is a loot drop.")</f>
        <v>Crafting Material, roll a d20 to see how many you get if this is a loot drop.</v>
      </c>
      <c r="C1159" s="2" t="str">
        <f>IFERROR(__xludf.DUMMYFUNCTION("""COMPUTED_VALUE"""),"Item")</f>
        <v>Item</v>
      </c>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2" t="str">
        <f>IFERROR(__xludf.DUMMYFUNCTION("""COMPUTED_VALUE"""),"Bullet")</f>
        <v>Bullet</v>
      </c>
      <c r="B1160" s="2" t="str">
        <f>IFERROR(__xludf.DUMMYFUNCTION("""COMPUTED_VALUE"""),"Firearm Ammunition. +100 damage. roll a d20 to see how many you get if this is a loot drop.")</f>
        <v>Firearm Ammunition. +100 damage. roll a d20 to see how many you get if this is a loot drop.</v>
      </c>
      <c r="C1160" s="2" t="str">
        <f>IFERROR(__xludf.DUMMYFUNCTION("""COMPUTED_VALUE"""),"Item")</f>
        <v>Item</v>
      </c>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2" t="str">
        <f>IFERROR(__xludf.DUMMYFUNCTION("""COMPUTED_VALUE"""),"The Ancient Medallion of Frost")</f>
        <v>The Ancient Medallion of Frost</v>
      </c>
      <c r="B1161" s="2" t="str">
        <f>IFERROR(__xludf.DUMMYFUNCTION("""COMPUTED_VALUE"""),"The key to getting into the final tower of the winter event.")</f>
        <v>The key to getting into the final tower of the winter event.</v>
      </c>
      <c r="C1161" s="2" t="str">
        <f>IFERROR(__xludf.DUMMYFUNCTION("""COMPUTED_VALUE"""),"Item")</f>
        <v>Item</v>
      </c>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2" t="str">
        <f>IFERROR(__xludf.DUMMYFUNCTION("""COMPUTED_VALUE"""),"Gargoyle Stone Tablet")</f>
        <v>Gargoyle Stone Tablet</v>
      </c>
      <c r="B1162" s="2" t="str">
        <f>IFERROR(__xludf.DUMMYFUNCTION("""COMPUTED_VALUE"""),"Tells you the Location of 3 Tiny Gargoyles. This item can only be used once.")</f>
        <v>Tells you the Location of 3 Tiny Gargoyles. This item can only be used once.</v>
      </c>
      <c r="C1162" s="2" t="str">
        <f>IFERROR(__xludf.DUMMYFUNCTION("""COMPUTED_VALUE"""),"Item")</f>
        <v>Item</v>
      </c>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2" t="str">
        <f>IFERROR(__xludf.DUMMYFUNCTION("""COMPUTED_VALUE"""),"Map of the Gargoyle’s")</f>
        <v>Map of the Gargoyle’s</v>
      </c>
      <c r="B1163" s="2" t="str">
        <f>IFERROR(__xludf.DUMMYFUNCTION("""COMPUTED_VALUE"""),"Allows Use to see Special Gargoyle’s")</f>
        <v>Allows Use to see Special Gargoyle’s</v>
      </c>
      <c r="C1163" s="2" t="str">
        <f>IFERROR(__xludf.DUMMYFUNCTION("""COMPUTED_VALUE"""),"Item")</f>
        <v>Item</v>
      </c>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2" t="str">
        <f>IFERROR(__xludf.DUMMYFUNCTION("""COMPUTED_VALUE"""),"The Tome of Abstara")</f>
        <v>The Tome of Abstara</v>
      </c>
      <c r="B1164" s="2" t="str">
        <f>IFERROR(__xludf.DUMMYFUNCTION("""COMPUTED_VALUE"""),"Can use up to Rank 9 Fire, Chaos, and Dark spells.")</f>
        <v>Can use up to Rank 9 Fire, Chaos, and Dark spells.</v>
      </c>
      <c r="C1164" s="2" t="str">
        <f>IFERROR(__xludf.DUMMYFUNCTION("""COMPUTED_VALUE"""),"Item")</f>
        <v>Item</v>
      </c>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2" t="str">
        <f>IFERROR(__xludf.DUMMYFUNCTION("""COMPUTED_VALUE"""),"Gargoyle’s Fishing Pole")</f>
        <v>Gargoyle’s Fishing Pole</v>
      </c>
      <c r="B1165" s="2" t="str">
        <f>IFERROR(__xludf.DUMMYFUNCTION("""COMPUTED_VALUE"""),"500/500 Uses. Used for lava fishing. Made of Stone.")</f>
        <v>500/500 Uses. Used for lava fishing. Made of Stone.</v>
      </c>
      <c r="C1165" s="2" t="str">
        <f>IFERROR(__xludf.DUMMYFUNCTION("""COMPUTED_VALUE"""),"Item")</f>
        <v>Item</v>
      </c>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2" t="str">
        <f>IFERROR(__xludf.DUMMYFUNCTION("""COMPUTED_VALUE"""),"Stone Worm")</f>
        <v>Stone Worm</v>
      </c>
      <c r="B1166" s="2" t="str">
        <f>IFERROR(__xludf.DUMMYFUNCTION("""COMPUTED_VALUE"""),"Fishing bait. Used for lava fishing.")</f>
        <v>Fishing bait. Used for lava fishing.</v>
      </c>
      <c r="C1166" s="2" t="str">
        <f>IFERROR(__xludf.DUMMYFUNCTION("""COMPUTED_VALUE"""),"Item")</f>
        <v>Item</v>
      </c>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2" t="str">
        <f>IFERROR(__xludf.DUMMYFUNCTION("""COMPUTED_VALUE"""),"Rock Soup")</f>
        <v>Rock Soup</v>
      </c>
      <c r="B1167" s="2" t="str">
        <f>IFERROR(__xludf.DUMMYFUNCTION("""COMPUTED_VALUE"""),"25 Hunger and +15 Thirst")</f>
        <v>25 Hunger and +15 Thirst</v>
      </c>
      <c r="C1167" s="2" t="str">
        <f>IFERROR(__xludf.DUMMYFUNCTION("""COMPUTED_VALUE"""),"Crop")</f>
        <v>Crop</v>
      </c>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2" t="str">
        <f>IFERROR(__xludf.DUMMYFUNCTION("""COMPUTED_VALUE"""),"Gargoyle’s slumbering mead")</f>
        <v>Gargoyle’s slumbering mead</v>
      </c>
      <c r="B1168" s="2" t="str">
        <f>IFERROR(__xludf.DUMMYFUNCTION("""COMPUTED_VALUE"""),"100 Thirst +100 Energy")</f>
        <v>100 Thirst +100 Energy</v>
      </c>
      <c r="C1168" s="2" t="str">
        <f>IFERROR(__xludf.DUMMYFUNCTION("""COMPUTED_VALUE"""),"Item")</f>
        <v>Item</v>
      </c>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2" t="str">
        <f>IFERROR(__xludf.DUMMYFUNCTION("""COMPUTED_VALUE"""),"Dark rum")</f>
        <v>Dark rum</v>
      </c>
      <c r="B1169" s="2" t="str">
        <f>IFERROR(__xludf.DUMMYFUNCTION("""COMPUTED_VALUE"""),"200 Thirst +200 Energy")</f>
        <v>200 Thirst +200 Energy</v>
      </c>
      <c r="C1169" s="2" t="str">
        <f>IFERROR(__xludf.DUMMYFUNCTION("""COMPUTED_VALUE"""),"Item")</f>
        <v>Item</v>
      </c>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2" t="str">
        <f>IFERROR(__xludf.DUMMYFUNCTION("""COMPUTED_VALUE"""),"Blank steak")</f>
        <v>Blank steak</v>
      </c>
      <c r="B1170" s="2" t="str">
        <f>IFERROR(__xludf.DUMMYFUNCTION("""COMPUTED_VALUE"""),"25 Hunger")</f>
        <v>25 Hunger</v>
      </c>
      <c r="C1170" s="2" t="str">
        <f>IFERROR(__xludf.DUMMYFUNCTION("""COMPUTED_VALUE"""),"Crop")</f>
        <v>Crop</v>
      </c>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2" t="str">
        <f>IFERROR(__xludf.DUMMYFUNCTION("""COMPUTED_VALUE"""),"Geode jello")</f>
        <v>Geode jello</v>
      </c>
      <c r="B1171" s="2" t="str">
        <f>IFERROR(__xludf.DUMMYFUNCTION("""COMPUTED_VALUE"""),"20 Thirst")</f>
        <v>20 Thirst</v>
      </c>
      <c r="C1171" s="2" t="str">
        <f>IFERROR(__xludf.DUMMYFUNCTION("""COMPUTED_VALUE"""),"Item")</f>
        <v>Item</v>
      </c>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2" t="str">
        <f>IFERROR(__xludf.DUMMYFUNCTION("""COMPUTED_VALUE"""),"Black baked potatoes")</f>
        <v>Black baked potatoes</v>
      </c>
      <c r="B1172" s="2" t="str">
        <f>IFERROR(__xludf.DUMMYFUNCTION("""COMPUTED_VALUE"""),"50 Hunger")</f>
        <v>50 Hunger</v>
      </c>
      <c r="C1172" s="2" t="str">
        <f>IFERROR(__xludf.DUMMYFUNCTION("""COMPUTED_VALUE"""),"Crop")</f>
        <v>Crop</v>
      </c>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2" t="str">
        <f>IFERROR(__xludf.DUMMYFUNCTION("""COMPUTED_VALUE"""),"Human Steak")</f>
        <v>Human Steak</v>
      </c>
      <c r="B1173" s="2" t="str">
        <f>IFERROR(__xludf.DUMMYFUNCTION("""COMPUTED_VALUE"""),"300 Hunger")</f>
        <v>300 Hunger</v>
      </c>
      <c r="C1173" s="2" t="str">
        <f>IFERROR(__xludf.DUMMYFUNCTION("""COMPUTED_VALUE"""),"Crop")</f>
        <v>Crop</v>
      </c>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2" t="str">
        <f>IFERROR(__xludf.DUMMYFUNCTION("""COMPUTED_VALUE"""),"Black Sheep mutton")</f>
        <v>Black Sheep mutton</v>
      </c>
      <c r="B1174" s="2" t="str">
        <f>IFERROR(__xludf.DUMMYFUNCTION("""COMPUTED_VALUE"""),"250 Hunger")</f>
        <v>250 Hunger</v>
      </c>
      <c r="C1174" s="2" t="str">
        <f>IFERROR(__xludf.DUMMYFUNCTION("""COMPUTED_VALUE"""),"Crop")</f>
        <v>Crop</v>
      </c>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2" t="str">
        <f>IFERROR(__xludf.DUMMYFUNCTION("""COMPUTED_VALUE"""),"Ebony Caviar")</f>
        <v>Ebony Caviar</v>
      </c>
      <c r="B1175" s="2" t="str">
        <f>IFERROR(__xludf.DUMMYFUNCTION("""COMPUTED_VALUE"""),"100 Hunger +105 Energy")</f>
        <v>100 Hunger +105 Energy</v>
      </c>
      <c r="C1175" s="2" t="str">
        <f>IFERROR(__xludf.DUMMYFUNCTION("""COMPUTED_VALUE"""),"Crop")</f>
        <v>Crop</v>
      </c>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2" t="str">
        <f>IFERROR(__xludf.DUMMYFUNCTION("""COMPUTED_VALUE"""),"Black Kale")</f>
        <v>Black Kale</v>
      </c>
      <c r="B1176" s="2" t="str">
        <f>IFERROR(__xludf.DUMMYFUNCTION("""COMPUTED_VALUE"""),"140 Hunger")</f>
        <v>140 Hunger</v>
      </c>
      <c r="C1176" s="2" t="str">
        <f>IFERROR(__xludf.DUMMYFUNCTION("""COMPUTED_VALUE"""),"Crop")</f>
        <v>Crop</v>
      </c>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2" t="str">
        <f>IFERROR(__xludf.DUMMYFUNCTION("""COMPUTED_VALUE"""),"Smokey Champagne")</f>
        <v>Smokey Champagne</v>
      </c>
      <c r="B1177" s="2" t="str">
        <f>IFERROR(__xludf.DUMMYFUNCTION("""COMPUTED_VALUE"""),"140 Thirst")</f>
        <v>140 Thirst</v>
      </c>
      <c r="C1177" s="2" t="str">
        <f>IFERROR(__xludf.DUMMYFUNCTION("""COMPUTED_VALUE"""),"Item")</f>
        <v>Item</v>
      </c>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2" t="str">
        <f>IFERROR(__xludf.DUMMYFUNCTION("""COMPUTED_VALUE"""),"Dead Island iced tea")</f>
        <v>Dead Island iced tea</v>
      </c>
      <c r="B1178" s="2" t="str">
        <f>IFERROR(__xludf.DUMMYFUNCTION("""COMPUTED_VALUE"""),"150 Thirst +125 Energy")</f>
        <v>150 Thirst +125 Energy</v>
      </c>
      <c r="C1178" s="2" t="str">
        <f>IFERROR(__xludf.DUMMYFUNCTION("""COMPUTED_VALUE"""),"Item")</f>
        <v>Item</v>
      </c>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2" t="str">
        <f>IFERROR(__xludf.DUMMYFUNCTION("""COMPUTED_VALUE"""),"Black russian")</f>
        <v>Black russian</v>
      </c>
      <c r="B1179" s="2" t="str">
        <f>IFERROR(__xludf.DUMMYFUNCTION("""COMPUTED_VALUE"""),"200 Thirst +200 Energy")</f>
        <v>200 Thirst +200 Energy</v>
      </c>
      <c r="C1179" s="2" t="str">
        <f>IFERROR(__xludf.DUMMYFUNCTION("""COMPUTED_VALUE"""),"Item")</f>
        <v>Item</v>
      </c>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2" t="str">
        <f>IFERROR(__xludf.DUMMYFUNCTION("""COMPUTED_VALUE"""),"Obsidian Lobster")</f>
        <v>Obsidian Lobster</v>
      </c>
      <c r="B1180" s="2" t="str">
        <f>IFERROR(__xludf.DUMMYFUNCTION("""COMPUTED_VALUE"""),"200 Hunger +200 Energy")</f>
        <v>200 Hunger +200 Energy</v>
      </c>
      <c r="C1180" s="2" t="str">
        <f>IFERROR(__xludf.DUMMYFUNCTION("""COMPUTED_VALUE"""),"Crop")</f>
        <v>Crop</v>
      </c>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2" t="str">
        <f>IFERROR(__xludf.DUMMYFUNCTION("""COMPUTED_VALUE"""),"Charcoal Truffles")</f>
        <v>Charcoal Truffles</v>
      </c>
      <c r="B1181" s="2" t="str">
        <f>IFERROR(__xludf.DUMMYFUNCTION("""COMPUTED_VALUE"""),"100 Hunger +100 Energy")</f>
        <v>100 Hunger +100 Energy</v>
      </c>
      <c r="C1181" s="2" t="str">
        <f>IFERROR(__xludf.DUMMYFUNCTION("""COMPUTED_VALUE"""),"Crop")</f>
        <v>Crop</v>
      </c>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2" t="str">
        <f>IFERROR(__xludf.DUMMYFUNCTION("""COMPUTED_VALUE"""),"Italian spaghetti and meatballs")</f>
        <v>Italian spaghetti and meatballs</v>
      </c>
      <c r="B1182" s="2" t="str">
        <f>IFERROR(__xludf.DUMMYFUNCTION("""COMPUTED_VALUE"""),"Full HP, Energy, Hunger, Thirst")</f>
        <v>Full HP, Energy, Hunger, Thirst</v>
      </c>
      <c r="C1182" s="2" t="str">
        <f>IFERROR(__xludf.DUMMYFUNCTION("""COMPUTED_VALUE"""),"Crop")</f>
        <v>Crop</v>
      </c>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2" t="str">
        <f>IFERROR(__xludf.DUMMYFUNCTION("""COMPUTED_VALUE"""),"Enclosed Spirits (enchantment)")</f>
        <v>Enclosed Spirits (enchantment)</v>
      </c>
      <c r="B1183" s="2" t="str">
        <f>IFERROR(__xludf.DUMMYFUNCTION("""COMPUTED_VALUE"""),"Add 1000 Spirit damage or resistance to any Spirit related Weapon or armor.")</f>
        <v>Add 1000 Spirit damage or resistance to any Spirit related Weapon or armor.</v>
      </c>
      <c r="C1183" s="2" t="str">
        <f>IFERROR(__xludf.DUMMYFUNCTION("""COMPUTED_VALUE"""),"Item")</f>
        <v>Item</v>
      </c>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2" t="str">
        <f>IFERROR(__xludf.DUMMYFUNCTION("""COMPUTED_VALUE"""),"Goat’s eye")</f>
        <v>Goat’s eye</v>
      </c>
      <c r="B1184" s="2" t="str">
        <f>IFERROR(__xludf.DUMMYFUNCTION("""COMPUTED_VALUE"""),"Crafting Material, roll a d20 to see how many you get if this is a loot drop.")</f>
        <v>Crafting Material, roll a d20 to see how many you get if this is a loot drop.</v>
      </c>
      <c r="C1184" s="2" t="str">
        <f>IFERROR(__xludf.DUMMYFUNCTION("""COMPUTED_VALUE"""),"Item")</f>
        <v>Item</v>
      </c>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2" t="str">
        <f>IFERROR(__xludf.DUMMYFUNCTION("""COMPUTED_VALUE"""),"Heart of the Demon")</f>
        <v>Heart of the Demon</v>
      </c>
      <c r="B1185" s="2" t="str">
        <f>IFERROR(__xludf.DUMMYFUNCTION("""COMPUTED_VALUE"""),"Crafting Material, roll a d20 to see how many you get if this is a loot drop.")</f>
        <v>Crafting Material, roll a d20 to see how many you get if this is a loot drop.</v>
      </c>
      <c r="C1185" s="2" t="str">
        <f>IFERROR(__xludf.DUMMYFUNCTION("""COMPUTED_VALUE"""),"Item")</f>
        <v>Item</v>
      </c>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2" t="str">
        <f>IFERROR(__xludf.DUMMYFUNCTION("""COMPUTED_VALUE"""),"Tooth of the Volcanic Serpent")</f>
        <v>Tooth of the Volcanic Serpent</v>
      </c>
      <c r="B1186" s="2" t="str">
        <f>IFERROR(__xludf.DUMMYFUNCTION("""COMPUTED_VALUE"""),"Crafting Material, roll a d20 to see how many you get if this is a loot drop.")</f>
        <v>Crafting Material, roll a d20 to see how many you get if this is a loot drop.</v>
      </c>
      <c r="C1186" s="2" t="str">
        <f>IFERROR(__xludf.DUMMYFUNCTION("""COMPUTED_VALUE"""),"Item")</f>
        <v>Item</v>
      </c>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2" t="str">
        <f>IFERROR(__xludf.DUMMYFUNCTION("""COMPUTED_VALUE"""),"Fire Jaguars Leather Skin")</f>
        <v>Fire Jaguars Leather Skin</v>
      </c>
      <c r="B1187" s="2" t="str">
        <f>IFERROR(__xludf.DUMMYFUNCTION("""COMPUTED_VALUE"""),"Crafting Material, roll a d20 to see how many you get if this is a loot drop.")</f>
        <v>Crafting Material, roll a d20 to see how many you get if this is a loot drop.</v>
      </c>
      <c r="C1187" s="2" t="str">
        <f>IFERROR(__xludf.DUMMYFUNCTION("""COMPUTED_VALUE"""),"Item")</f>
        <v>Item</v>
      </c>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2" t="str">
        <f>IFERROR(__xludf.DUMMYFUNCTION("""COMPUTED_VALUE"""),"Black Lake Soup")</f>
        <v>Black Lake Soup</v>
      </c>
      <c r="B1188" s="2" t="str">
        <f>IFERROR(__xludf.DUMMYFUNCTION("""COMPUTED_VALUE"""),"500 Thirst and 400 Hunger")</f>
        <v>500 Thirst and 400 Hunger</v>
      </c>
      <c r="C1188" s="2" t="str">
        <f>IFERROR(__xludf.DUMMYFUNCTION("""COMPUTED_VALUE"""),"Crop")</f>
        <v>Crop</v>
      </c>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2" t="str">
        <f>IFERROR(__xludf.DUMMYFUNCTION("""COMPUTED_VALUE"""),"Basilisk Veal")</f>
        <v>Basilisk Veal</v>
      </c>
      <c r="B1189" s="2" t="str">
        <f>IFERROR(__xludf.DUMMYFUNCTION("""COMPUTED_VALUE"""),"500 Hunger")</f>
        <v>500 Hunger</v>
      </c>
      <c r="C1189" s="2" t="str">
        <f>IFERROR(__xludf.DUMMYFUNCTION("""COMPUTED_VALUE"""),"Crop")</f>
        <v>Crop</v>
      </c>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2" t="str">
        <f>IFERROR(__xludf.DUMMYFUNCTION("""COMPUTED_VALUE"""),"Black Cactus juice")</f>
        <v>Black Cactus juice</v>
      </c>
      <c r="B1190" s="2" t="str">
        <f>IFERROR(__xludf.DUMMYFUNCTION("""COMPUTED_VALUE"""),"500 Thirst")</f>
        <v>500 Thirst</v>
      </c>
      <c r="C1190" s="2" t="str">
        <f>IFERROR(__xludf.DUMMYFUNCTION("""COMPUTED_VALUE"""),"Item")</f>
        <v>Item</v>
      </c>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2" t="str">
        <f>IFERROR(__xludf.DUMMYFUNCTION("""COMPUTED_VALUE"""),"Black Lake Purified Water")</f>
        <v>Black Lake Purified Water</v>
      </c>
      <c r="B1191" s="2" t="str">
        <f>IFERROR(__xludf.DUMMYFUNCTION("""COMPUTED_VALUE"""),"650 Thirst")</f>
        <v>650 Thirst</v>
      </c>
      <c r="C1191" s="2" t="str">
        <f>IFERROR(__xludf.DUMMYFUNCTION("""COMPUTED_VALUE"""),"Item")</f>
        <v>Item</v>
      </c>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2" t="str">
        <f>IFERROR(__xludf.DUMMYFUNCTION("""COMPUTED_VALUE"""),"Neutralized Basilisk Venom Shot")</f>
        <v>Neutralized Basilisk Venom Shot</v>
      </c>
      <c r="B1192" s="2" t="str">
        <f>IFERROR(__xludf.DUMMYFUNCTION("""COMPUTED_VALUE"""),"1000 Thirst")</f>
        <v>1000 Thirst</v>
      </c>
      <c r="C1192" s="2" t="str">
        <f>IFERROR(__xludf.DUMMYFUNCTION("""COMPUTED_VALUE"""),"Item")</f>
        <v>Item</v>
      </c>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2" t="str">
        <f>IFERROR(__xludf.DUMMYFUNCTION("""COMPUTED_VALUE"""),"Ebony Mushrooms")</f>
        <v>Ebony Mushrooms</v>
      </c>
      <c r="B1193" s="2" t="str">
        <f>IFERROR(__xludf.DUMMYFUNCTION("""COMPUTED_VALUE"""),"250 Hunger")</f>
        <v>250 Hunger</v>
      </c>
      <c r="C1193" s="2" t="str">
        <f>IFERROR(__xludf.DUMMYFUNCTION("""COMPUTED_VALUE"""),"Crop")</f>
        <v>Crop</v>
      </c>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2" t="str">
        <f>IFERROR(__xludf.DUMMYFUNCTION("""COMPUTED_VALUE"""),"Black Sludge")</f>
        <v>Black Sludge</v>
      </c>
      <c r="B1194" s="2" t="str">
        <f>IFERROR(__xludf.DUMMYFUNCTION("""COMPUTED_VALUE"""),"Make a fail/succeed roll
Success - +500 Hunger and Thirst
Fail - -250 Hunger and Thirst From Vomiting.")</f>
        <v>Make a fail/succeed roll
Success - +500 Hunger and Thirst
Fail - -250 Hunger and Thirst From Vomiting.</v>
      </c>
      <c r="C1194" s="2" t="str">
        <f>IFERROR(__xludf.DUMMYFUNCTION("""COMPUTED_VALUE"""),"Crop")</f>
        <v>Crop</v>
      </c>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2" t="str">
        <f>IFERROR(__xludf.DUMMYFUNCTION("""COMPUTED_VALUE"""),"Black Sepent Dragon Scales")</f>
        <v>Black Sepent Dragon Scales</v>
      </c>
      <c r="B1195" s="2" t="str">
        <f>IFERROR(__xludf.DUMMYFUNCTION("""COMPUTED_VALUE"""),"Crafting Material, roll a d20 to see how many you get if this is a loot drop.")</f>
        <v>Crafting Material, roll a d20 to see how many you get if this is a loot drop.</v>
      </c>
      <c r="C1195" s="2" t="str">
        <f>IFERROR(__xludf.DUMMYFUNCTION("""COMPUTED_VALUE"""),"Item")</f>
        <v>Item</v>
      </c>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2" t="str">
        <f>IFERROR(__xludf.DUMMYFUNCTION("""COMPUTED_VALUE"""),"Chaotic Shadow Dragon Scales")</f>
        <v>Chaotic Shadow Dragon Scales</v>
      </c>
      <c r="B1196" s="2" t="str">
        <f>IFERROR(__xludf.DUMMYFUNCTION("""COMPUTED_VALUE"""),"Crafting Material, roll a d20 to see how many you get if this is a loot drop.")</f>
        <v>Crafting Material, roll a d20 to see how many you get if this is a loot drop.</v>
      </c>
      <c r="C1196" s="2" t="str">
        <f>IFERROR(__xludf.DUMMYFUNCTION("""COMPUTED_VALUE"""),"Item")</f>
        <v>Item</v>
      </c>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2" t="str">
        <f>IFERROR(__xludf.DUMMYFUNCTION("""COMPUTED_VALUE"""),"Chaotic Shadow Dragon Skull")</f>
        <v>Chaotic Shadow Dragon Skull</v>
      </c>
      <c r="B1197" s="2" t="str">
        <f>IFERROR(__xludf.DUMMYFUNCTION("""COMPUTED_VALUE"""),"can be consumed to obtain 1 free dark or chaos power. (Only one per character)")</f>
        <v>can be consumed to obtain 1 free dark or chaos power. (Only one per character)</v>
      </c>
      <c r="C1197" s="2" t="str">
        <f>IFERROR(__xludf.DUMMYFUNCTION("""COMPUTED_VALUE"""),"Item")</f>
        <v>Item</v>
      </c>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2" t="str">
        <f>IFERROR(__xludf.DUMMYFUNCTION("""COMPUTED_VALUE"""),"Sharp Teeth")</f>
        <v>Sharp Teeth</v>
      </c>
      <c r="B1198" s="2" t="str">
        <f>IFERROR(__xludf.DUMMYFUNCTION("""COMPUTED_VALUE"""),"Consumable, 100 sharp teeth = permanantly increase attack by 1.")</f>
        <v>Consumable, 100 sharp teeth = permanantly increase attack by 1.</v>
      </c>
      <c r="C1198" s="2" t="str">
        <f>IFERROR(__xludf.DUMMYFUNCTION("""COMPUTED_VALUE"""),"Item")</f>
        <v>Item</v>
      </c>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2" t="str">
        <f>IFERROR(__xludf.DUMMYFUNCTION("""COMPUTED_VALUE"""),"Letter from the Warden")</f>
        <v>Letter from the Warden</v>
      </c>
      <c r="B1199" s="2" t="str">
        <f>IFERROR(__xludf.DUMMYFUNCTION("""COMPUTED_VALUE"""),"Get out of jail for free. Can only be used once, Cannot be duplicated.")</f>
        <v>Get out of jail for free. Can only be used once, Cannot be duplicated.</v>
      </c>
      <c r="C1199" s="2" t="str">
        <f>IFERROR(__xludf.DUMMYFUNCTION("""COMPUTED_VALUE"""),"Item")</f>
        <v>Item</v>
      </c>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2" t="str">
        <f>IFERROR(__xludf.DUMMYFUNCTION("""COMPUTED_VALUE"""),"Rank 9 Light Tome")</f>
        <v>Rank 9 Light Tome</v>
      </c>
      <c r="B1200" s="2" t="str">
        <f>IFERROR(__xludf.DUMMYFUNCTION("""COMPUTED_VALUE"""),"Allows you to use up to Rank 9 Light Powers.")</f>
        <v>Allows you to use up to Rank 9 Light Powers.</v>
      </c>
      <c r="C1200" s="2" t="str">
        <f>IFERROR(__xludf.DUMMYFUNCTION("""COMPUTED_VALUE"""),"Item")</f>
        <v>Item</v>
      </c>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2" t="str">
        <f>IFERROR(__xludf.DUMMYFUNCTION("""COMPUTED_VALUE"""),"Lesser Healing Potion")</f>
        <v>Lesser Healing Potion</v>
      </c>
      <c r="B1201" s="2" t="str">
        <f>IFERROR(__xludf.DUMMYFUNCTION("""COMPUTED_VALUE"""),": + +25HP")</f>
        <v>: + +25HP</v>
      </c>
      <c r="C1201" s="2" t="str">
        <f>IFERROR(__xludf.DUMMYFUNCTION("""COMPUTED_VALUE"""),"Item")</f>
        <v>Item</v>
      </c>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2" t="str">
        <f>IFERROR(__xludf.DUMMYFUNCTION("""COMPUTED_VALUE"""),"Blackhorn Healing Potion")</f>
        <v>Blackhorn Healing Potion</v>
      </c>
      <c r="B1202" s="2" t="str">
        <f>IFERROR(__xludf.DUMMYFUNCTION("""COMPUTED_VALUE"""),": + +75HP")</f>
        <v>: + +75HP</v>
      </c>
      <c r="C1202" s="2" t="str">
        <f>IFERROR(__xludf.DUMMYFUNCTION("""COMPUTED_VALUE"""),"Item")</f>
        <v>Item</v>
      </c>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2" t="str">
        <f>IFERROR(__xludf.DUMMYFUNCTION("""COMPUTED_VALUE"""),"Greater Healing Potion")</f>
        <v>Greater Healing Potion</v>
      </c>
      <c r="B1203" s="2" t="str">
        <f>IFERROR(__xludf.DUMMYFUNCTION("""COMPUTED_VALUE"""),": + +100HP")</f>
        <v>: + +100HP</v>
      </c>
      <c r="C1203" s="2" t="str">
        <f>IFERROR(__xludf.DUMMYFUNCTION("""COMPUTED_VALUE"""),"Item")</f>
        <v>Item</v>
      </c>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2" t="str">
        <f>IFERROR(__xludf.DUMMYFUNCTION("""COMPUTED_VALUE"""),"Awkward Potion")</f>
        <v>Awkward Potion</v>
      </c>
      <c r="B1204" s="2" t="str">
        <f>IFERROR(__xludf.DUMMYFUNCTION("""COMPUTED_VALUE"""),": + +100HP And 100 SP")</f>
        <v>: + +100HP And 100 SP</v>
      </c>
      <c r="C1204" s="2" t="str">
        <f>IFERROR(__xludf.DUMMYFUNCTION("""COMPUTED_VALUE"""),"Item")</f>
        <v>Item</v>
      </c>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2" t="str">
        <f>IFERROR(__xludf.DUMMYFUNCTION("""COMPUTED_VALUE"""),"Defensive Potion")</f>
        <v>Defensive Potion</v>
      </c>
      <c r="B1205" s="2" t="str">
        <f>IFERROR(__xludf.DUMMYFUNCTION("""COMPUTED_VALUE"""),": + +1000 def for 3 rounds")</f>
        <v>: + +1000 def for 3 rounds</v>
      </c>
      <c r="C1205" s="2" t="str">
        <f>IFERROR(__xludf.DUMMYFUNCTION("""COMPUTED_VALUE"""),"Item")</f>
        <v>Item</v>
      </c>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2" t="str">
        <f>IFERROR(__xludf.DUMMYFUNCTION("""COMPUTED_VALUE"""),"Offensive Potion")</f>
        <v>Offensive Potion</v>
      </c>
      <c r="B1206" s="2" t="str">
        <f>IFERROR(__xludf.DUMMYFUNCTION("""COMPUTED_VALUE"""),": + +1000 atk for 3 rounds")</f>
        <v>: + +1000 atk for 3 rounds</v>
      </c>
      <c r="C1206" s="2" t="str">
        <f>IFERROR(__xludf.DUMMYFUNCTION("""COMPUTED_VALUE"""),"Item")</f>
        <v>Item</v>
      </c>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2" t="str">
        <f>IFERROR(__xludf.DUMMYFUNCTION("""COMPUTED_VALUE"""),"Potion of Swift")</f>
        <v>Potion of Swift</v>
      </c>
      <c r="B1207" s="2" t="str">
        <f>IFERROR(__xludf.DUMMYFUNCTION("""COMPUTED_VALUE"""),": + +add 5 evasion for 3 rounds")</f>
        <v>: + +add 5 evasion for 3 rounds</v>
      </c>
      <c r="C1207" s="2" t="str">
        <f>IFERROR(__xludf.DUMMYFUNCTION("""COMPUTED_VALUE"""),"Item")</f>
        <v>Item</v>
      </c>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2" t="str">
        <f>IFERROR(__xludf.DUMMYFUNCTION("""COMPUTED_VALUE"""),"Potion of Mana Regeneration")</f>
        <v>Potion of Mana Regeneration</v>
      </c>
      <c r="B1208" s="2" t="str">
        <f>IFERROR(__xludf.DUMMYFUNCTION("""COMPUTED_VALUE"""),": + +500SP p/r for 3 rounds")</f>
        <v>: + +500SP p/r for 3 rounds</v>
      </c>
      <c r="C1208" s="2" t="str">
        <f>IFERROR(__xludf.DUMMYFUNCTION("""COMPUTED_VALUE"""),"Item")</f>
        <v>Item</v>
      </c>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2" t="str">
        <f>IFERROR(__xludf.DUMMYFUNCTION("""COMPUTED_VALUE"""),"Potion of Thorns")</f>
        <v>Potion of Thorns</v>
      </c>
      <c r="B1209" s="2" t="str">
        <f>IFERROR(__xludf.DUMMYFUNCTION("""COMPUTED_VALUE"""),": + +When a target deals damage to you they take the same amount of damage back.")</f>
        <v>: + +When a target deals damage to you they take the same amount of damage back.</v>
      </c>
      <c r="C1209" s="2" t="str">
        <f>IFERROR(__xludf.DUMMYFUNCTION("""COMPUTED_VALUE"""),"Item")</f>
        <v>Item</v>
      </c>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2" t="str">
        <f>IFERROR(__xludf.DUMMYFUNCTION("""COMPUTED_VALUE"""),"Potion of Resistance")</f>
        <v>Potion of Resistance</v>
      </c>
      <c r="B1210" s="2" t="str">
        <f>IFERROR(__xludf.DUMMYFUNCTION("""COMPUTED_VALUE"""),": + +1000 resistance to all attacks for 3 rounds.")</f>
        <v>: + +1000 resistance to all attacks for 3 rounds.</v>
      </c>
      <c r="C1210" s="2" t="str">
        <f>IFERROR(__xludf.DUMMYFUNCTION("""COMPUTED_VALUE"""),"Item")</f>
        <v>Item</v>
      </c>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2" t="str">
        <f>IFERROR(__xludf.DUMMYFUNCTION("""COMPUTED_VALUE"""),"Potion of Speed")</f>
        <v>Potion of Speed</v>
      </c>
      <c r="B1211" s="2" t="str">
        <f>IFERROR(__xludf.DUMMYFUNCTION("""COMPUTED_VALUE"""),": + +Allows 2 additional turns in one on your next turn.")</f>
        <v>: + +Allows 2 additional turns in one on your next turn.</v>
      </c>
      <c r="C1211" s="2" t="str">
        <f>IFERROR(__xludf.DUMMYFUNCTION("""COMPUTED_VALUE"""),"Item")</f>
        <v>Item</v>
      </c>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2" t="str">
        <f>IFERROR(__xludf.DUMMYFUNCTION("""COMPUTED_VALUE"""),"Potion of Luck")</f>
        <v>Potion of Luck</v>
      </c>
      <c r="B1212" s="2" t="str">
        <f>IFERROR(__xludf.DUMMYFUNCTION("""COMPUTED_VALUE"""),": + +Allows you to get an enemies highest loot role (Must be used during battle)")</f>
        <v>: + +Allows you to get an enemies highest loot role (Must be used during battle)</v>
      </c>
      <c r="C1212" s="2" t="str">
        <f>IFERROR(__xludf.DUMMYFUNCTION("""COMPUTED_VALUE"""),"Item")</f>
        <v>Item</v>
      </c>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2" t="str">
        <f>IFERROR(__xludf.DUMMYFUNCTION("""COMPUTED_VALUE"""),"Potion of Regeneration")</f>
        <v>Potion of Regeneration</v>
      </c>
      <c r="B1213" s="2" t="str">
        <f>IFERROR(__xludf.DUMMYFUNCTION("""COMPUTED_VALUE"""),": + +500HP p/r for 3 rounds.")</f>
        <v>: + +500HP p/r for 3 rounds.</v>
      </c>
      <c r="C1213" s="2" t="str">
        <f>IFERROR(__xludf.DUMMYFUNCTION("""COMPUTED_VALUE"""),"Item")</f>
        <v>Item</v>
      </c>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2" t="str">
        <f>IFERROR(__xludf.DUMMYFUNCTION("""COMPUTED_VALUE"""),"Potion of Immunity")</f>
        <v>Potion of Immunity</v>
      </c>
      <c r="B1214" s="2" t="str">
        <f>IFERROR(__xludf.DUMMYFUNCTION("""COMPUTED_VALUE"""),": + +Gain immunity to all attacks for 3 rounds.")</f>
        <v>: + +Gain immunity to all attacks for 3 rounds.</v>
      </c>
      <c r="C1214" s="2" t="str">
        <f>IFERROR(__xludf.DUMMYFUNCTION("""COMPUTED_VALUE"""),"Item")</f>
        <v>Item</v>
      </c>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2" t="str">
        <f>IFERROR(__xludf.DUMMYFUNCTION("""COMPUTED_VALUE"""),"Apple")</f>
        <v>Apple</v>
      </c>
      <c r="B1215" s="2" t="str">
        <f>IFERROR(__xludf.DUMMYFUNCTION("""COMPUTED_VALUE"""),"5 hunger and thirst.")</f>
        <v>5 hunger and thirst.</v>
      </c>
      <c r="C1215" s="2" t="str">
        <f>IFERROR(__xludf.DUMMYFUNCTION("""COMPUTED_VALUE"""),"Crop")</f>
        <v>Crop</v>
      </c>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2" t="str">
        <f>IFERROR(__xludf.DUMMYFUNCTION("""COMPUTED_VALUE"""),"Watermelon")</f>
        <v>Watermelon</v>
      </c>
      <c r="B1216" s="2" t="str">
        <f>IFERROR(__xludf.DUMMYFUNCTION("""COMPUTED_VALUE"""),"100 hunger, thirst, and energy. Feeds self and up to 2 party members.")</f>
        <v>100 hunger, thirst, and energy. Feeds self and up to 2 party members.</v>
      </c>
      <c r="C1216" s="2" t="str">
        <f>IFERROR(__xludf.DUMMYFUNCTION("""COMPUTED_VALUE"""),"Crop")</f>
        <v>Crop</v>
      </c>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2" t="str">
        <f>IFERROR(__xludf.DUMMYFUNCTION("""COMPUTED_VALUE"""),"Orange")</f>
        <v>Orange</v>
      </c>
      <c r="B1217" s="2" t="str">
        <f>IFERROR(__xludf.DUMMYFUNCTION("""COMPUTED_VALUE"""),"5 hunger and thirst.")</f>
        <v>5 hunger and thirst.</v>
      </c>
      <c r="C1217" s="2" t="str">
        <f>IFERROR(__xludf.DUMMYFUNCTION("""COMPUTED_VALUE"""),"Crop")</f>
        <v>Crop</v>
      </c>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2" t="str">
        <f>IFERROR(__xludf.DUMMYFUNCTION("""COMPUTED_VALUE"""),"Pear")</f>
        <v>Pear</v>
      </c>
      <c r="B1218" s="2" t="str">
        <f>IFERROR(__xludf.DUMMYFUNCTION("""COMPUTED_VALUE"""),"5 hunger and thirst.")</f>
        <v>5 hunger and thirst.</v>
      </c>
      <c r="C1218" s="2" t="str">
        <f>IFERROR(__xludf.DUMMYFUNCTION("""COMPUTED_VALUE"""),"Crop")</f>
        <v>Crop</v>
      </c>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2" t="str">
        <f>IFERROR(__xludf.DUMMYFUNCTION("""COMPUTED_VALUE"""),"Cherry")</f>
        <v>Cherry</v>
      </c>
      <c r="B1219" s="2" t="str">
        <f>IFERROR(__xludf.DUMMYFUNCTION("""COMPUTED_VALUE"""),"5 hunger and thirst.")</f>
        <v>5 hunger and thirst.</v>
      </c>
      <c r="C1219" s="2" t="str">
        <f>IFERROR(__xludf.DUMMYFUNCTION("""COMPUTED_VALUE"""),"Crop")</f>
        <v>Crop</v>
      </c>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2" t="str">
        <f>IFERROR(__xludf.DUMMYFUNCTION("""COMPUTED_VALUE"""),"Strawberries")</f>
        <v>Strawberries</v>
      </c>
      <c r="B1220" s="2" t="str">
        <f>IFERROR(__xludf.DUMMYFUNCTION("""COMPUTED_VALUE"""),"5 hunger and thirst.")</f>
        <v>5 hunger and thirst.</v>
      </c>
      <c r="C1220" s="2" t="str">
        <f>IFERROR(__xludf.DUMMYFUNCTION("""COMPUTED_VALUE"""),"Crop")</f>
        <v>Crop</v>
      </c>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2" t="str">
        <f>IFERROR(__xludf.DUMMYFUNCTION("""COMPUTED_VALUE"""),"Nectarine")</f>
        <v>Nectarine</v>
      </c>
      <c r="B1221" s="2" t="str">
        <f>IFERROR(__xludf.DUMMYFUNCTION("""COMPUTED_VALUE"""),"5 hunger and thirst.")</f>
        <v>5 hunger and thirst.</v>
      </c>
      <c r="C1221" s="2" t="str">
        <f>IFERROR(__xludf.DUMMYFUNCTION("""COMPUTED_VALUE"""),"Crop")</f>
        <v>Crop</v>
      </c>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2" t="str">
        <f>IFERROR(__xludf.DUMMYFUNCTION("""COMPUTED_VALUE"""),"Grapes")</f>
        <v>Grapes</v>
      </c>
      <c r="B1222" s="2" t="str">
        <f>IFERROR(__xludf.DUMMYFUNCTION("""COMPUTED_VALUE"""),"5 hunger and thirst.")</f>
        <v>5 hunger and thirst.</v>
      </c>
      <c r="C1222" s="2" t="str">
        <f>IFERROR(__xludf.DUMMYFUNCTION("""COMPUTED_VALUE"""),"Crop")</f>
        <v>Crop</v>
      </c>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2" t="str">
        <f>IFERROR(__xludf.DUMMYFUNCTION("""COMPUTED_VALUE"""),"Mango")</f>
        <v>Mango</v>
      </c>
      <c r="B1223" s="2" t="str">
        <f>IFERROR(__xludf.DUMMYFUNCTION("""COMPUTED_VALUE"""),"5 hunger and thirst.")</f>
        <v>5 hunger and thirst.</v>
      </c>
      <c r="C1223" s="2" t="str">
        <f>IFERROR(__xludf.DUMMYFUNCTION("""COMPUTED_VALUE"""),"Crop")</f>
        <v>Crop</v>
      </c>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2" t="str">
        <f>IFERROR(__xludf.DUMMYFUNCTION("""COMPUTED_VALUE"""),"Blueberries")</f>
        <v>Blueberries</v>
      </c>
      <c r="B1224" s="2" t="str">
        <f>IFERROR(__xludf.DUMMYFUNCTION("""COMPUTED_VALUE"""),"5 hunger and thirst.")</f>
        <v>5 hunger and thirst.</v>
      </c>
      <c r="C1224" s="2" t="str">
        <f>IFERROR(__xludf.DUMMYFUNCTION("""COMPUTED_VALUE"""),"Crop")</f>
        <v>Crop</v>
      </c>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2" t="str">
        <f>IFERROR(__xludf.DUMMYFUNCTION("""COMPUTED_VALUE"""),"Pomegranate")</f>
        <v>Pomegranate</v>
      </c>
      <c r="B1225" s="2" t="str">
        <f>IFERROR(__xludf.DUMMYFUNCTION("""COMPUTED_VALUE"""),"10 hunger and thirst.")</f>
        <v>10 hunger and thirst.</v>
      </c>
      <c r="C1225" s="2" t="str">
        <f>IFERROR(__xludf.DUMMYFUNCTION("""COMPUTED_VALUE"""),"Crop")</f>
        <v>Crop</v>
      </c>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2" t="str">
        <f>IFERROR(__xludf.DUMMYFUNCTION("""COMPUTED_VALUE"""),"StarFruit")</f>
        <v>StarFruit</v>
      </c>
      <c r="B1226" s="2" t="str">
        <f>IFERROR(__xludf.DUMMYFUNCTION("""COMPUTED_VALUE"""),"5 hunger and thirst.")</f>
        <v>5 hunger and thirst.</v>
      </c>
      <c r="C1226" s="2" t="str">
        <f>IFERROR(__xludf.DUMMYFUNCTION("""COMPUTED_VALUE"""),"Crop")</f>
        <v>Crop</v>
      </c>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2" t="str">
        <f>IFERROR(__xludf.DUMMYFUNCTION("""COMPUTED_VALUE"""),"Plum")</f>
        <v>Plum</v>
      </c>
      <c r="B1227" s="2" t="str">
        <f>IFERROR(__xludf.DUMMYFUNCTION("""COMPUTED_VALUE"""),"5 hunger and thirst.")</f>
        <v>5 hunger and thirst.</v>
      </c>
      <c r="C1227" s="2" t="str">
        <f>IFERROR(__xludf.DUMMYFUNCTION("""COMPUTED_VALUE"""),"Crop")</f>
        <v>Crop</v>
      </c>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2" t="str">
        <f>IFERROR(__xludf.DUMMYFUNCTION("""COMPUTED_VALUE"""),"Bananas")</f>
        <v>Bananas</v>
      </c>
      <c r="B1228" s="2" t="str">
        <f>IFERROR(__xludf.DUMMYFUNCTION("""COMPUTED_VALUE"""),"10 hunger.")</f>
        <v>10 hunger.</v>
      </c>
      <c r="C1228" s="2" t="str">
        <f>IFERROR(__xludf.DUMMYFUNCTION("""COMPUTED_VALUE"""),"Crop")</f>
        <v>Crop</v>
      </c>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2" t="str">
        <f>IFERROR(__xludf.DUMMYFUNCTION("""COMPUTED_VALUE"""),"Raspberry")</f>
        <v>Raspberry</v>
      </c>
      <c r="B1229" s="2" t="str">
        <f>IFERROR(__xludf.DUMMYFUNCTION("""COMPUTED_VALUE"""),"5 hunger and thirst.")</f>
        <v>5 hunger and thirst.</v>
      </c>
      <c r="C1229" s="2" t="str">
        <f>IFERROR(__xludf.DUMMYFUNCTION("""COMPUTED_VALUE"""),"Crop")</f>
        <v>Crop</v>
      </c>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2" t="str">
        <f>IFERROR(__xludf.DUMMYFUNCTION("""COMPUTED_VALUE"""),"Mandarin")</f>
        <v>Mandarin</v>
      </c>
      <c r="B1230" s="2" t="str">
        <f>IFERROR(__xludf.DUMMYFUNCTION("""COMPUTED_VALUE"""),"5 hunger and thirst.")</f>
        <v>5 hunger and thirst.</v>
      </c>
      <c r="C1230" s="2" t="str">
        <f>IFERROR(__xludf.DUMMYFUNCTION("""COMPUTED_VALUE"""),"Crop")</f>
        <v>Crop</v>
      </c>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2" t="str">
        <f>IFERROR(__xludf.DUMMYFUNCTION("""COMPUTED_VALUE"""),"Jackfruit")</f>
        <v>Jackfruit</v>
      </c>
      <c r="B1231" s="2" t="str">
        <f>IFERROR(__xludf.DUMMYFUNCTION("""COMPUTED_VALUE"""),"5 hunger and thirst.")</f>
        <v>5 hunger and thirst.</v>
      </c>
      <c r="C1231" s="2" t="str">
        <f>IFERROR(__xludf.DUMMYFUNCTION("""COMPUTED_VALUE"""),"Crop")</f>
        <v>Crop</v>
      </c>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2" t="str">
        <f>IFERROR(__xludf.DUMMYFUNCTION("""COMPUTED_VALUE"""),"Papaya")</f>
        <v>Papaya</v>
      </c>
      <c r="B1232" s="2" t="str">
        <f>IFERROR(__xludf.DUMMYFUNCTION("""COMPUTED_VALUE"""),"10 hunger and thirst.")</f>
        <v>10 hunger and thirst.</v>
      </c>
      <c r="C1232" s="2" t="str">
        <f>IFERROR(__xludf.DUMMYFUNCTION("""COMPUTED_VALUE"""),"Crop")</f>
        <v>Crop</v>
      </c>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2" t="str">
        <f>IFERROR(__xludf.DUMMYFUNCTION("""COMPUTED_VALUE"""),"Kiwi")</f>
        <v>Kiwi</v>
      </c>
      <c r="B1233" s="2" t="str">
        <f>IFERROR(__xludf.DUMMYFUNCTION("""COMPUTED_VALUE"""),"5 hunger and thirst.")</f>
        <v>5 hunger and thirst.</v>
      </c>
      <c r="C1233" s="2" t="str">
        <f>IFERROR(__xludf.DUMMYFUNCTION("""COMPUTED_VALUE"""),"Crop")</f>
        <v>Crop</v>
      </c>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2" t="str">
        <f>IFERROR(__xludf.DUMMYFUNCTION("""COMPUTED_VALUE"""),"Pineapple")</f>
        <v>Pineapple</v>
      </c>
      <c r="B1234" s="2" t="str">
        <f>IFERROR(__xludf.DUMMYFUNCTION("""COMPUTED_VALUE"""),"20 hunger and thirst.")</f>
        <v>20 hunger and thirst.</v>
      </c>
      <c r="C1234" s="2" t="str">
        <f>IFERROR(__xludf.DUMMYFUNCTION("""COMPUTED_VALUE"""),"Crop")</f>
        <v>Crop</v>
      </c>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2" t="str">
        <f>IFERROR(__xludf.DUMMYFUNCTION("""COMPUTED_VALUE"""),"Lime")</f>
        <v>Lime</v>
      </c>
      <c r="B1235" s="2" t="str">
        <f>IFERROR(__xludf.DUMMYFUNCTION("""COMPUTED_VALUE"""),"5 hunger and thirst or 25% chance to lose 10 hunger and thirst.")</f>
        <v>5 hunger and thirst or 25% chance to lose 10 hunger and thirst.</v>
      </c>
      <c r="C1235" s="2" t="str">
        <f>IFERROR(__xludf.DUMMYFUNCTION("""COMPUTED_VALUE"""),"Crop")</f>
        <v>Crop</v>
      </c>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2" t="str">
        <f>IFERROR(__xludf.DUMMYFUNCTION("""COMPUTED_VALUE"""),"Lemon")</f>
        <v>Lemon</v>
      </c>
      <c r="B1236" s="2" t="str">
        <f>IFERROR(__xludf.DUMMYFUNCTION("""COMPUTED_VALUE"""),"5 hunger and thirst or 50% chance to lose 10 hunger and thirst.")</f>
        <v>5 hunger and thirst or 50% chance to lose 10 hunger and thirst.</v>
      </c>
      <c r="C1236" s="2" t="str">
        <f>IFERROR(__xludf.DUMMYFUNCTION("""COMPUTED_VALUE"""),"Crop")</f>
        <v>Crop</v>
      </c>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2" t="str">
        <f>IFERROR(__xludf.DUMMYFUNCTION("""COMPUTED_VALUE"""),"Apricot")</f>
        <v>Apricot</v>
      </c>
      <c r="B1237" s="2" t="str">
        <f>IFERROR(__xludf.DUMMYFUNCTION("""COMPUTED_VALUE"""),"5 hunger and thirst.")</f>
        <v>5 hunger and thirst.</v>
      </c>
      <c r="C1237" s="2" t="str">
        <f>IFERROR(__xludf.DUMMYFUNCTION("""COMPUTED_VALUE"""),"Crop")</f>
        <v>Crop</v>
      </c>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2" t="str">
        <f>IFERROR(__xludf.DUMMYFUNCTION("""COMPUTED_VALUE"""),"Grapefruit")</f>
        <v>Grapefruit</v>
      </c>
      <c r="B1238" s="2" t="str">
        <f>IFERROR(__xludf.DUMMYFUNCTION("""COMPUTED_VALUE"""),"10 hunger and thirst.")</f>
        <v>10 hunger and thirst.</v>
      </c>
      <c r="C1238" s="2" t="str">
        <f>IFERROR(__xludf.DUMMYFUNCTION("""COMPUTED_VALUE"""),"Crop")</f>
        <v>Crop</v>
      </c>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2" t="str">
        <f>IFERROR(__xludf.DUMMYFUNCTION("""COMPUTED_VALUE"""),"Coconut")</f>
        <v>Coconut</v>
      </c>
      <c r="B1239" s="2" t="str">
        <f>IFERROR(__xludf.DUMMYFUNCTION("""COMPUTED_VALUE"""),"10 hunger and thirst.")</f>
        <v>10 hunger and thirst.</v>
      </c>
      <c r="C1239" s="2" t="str">
        <f>IFERROR(__xludf.DUMMYFUNCTION("""COMPUTED_VALUE"""),"Crop")</f>
        <v>Crop</v>
      </c>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2" t="str">
        <f>IFERROR(__xludf.DUMMYFUNCTION("""COMPUTED_VALUE"""),"Avocado")</f>
        <v>Avocado</v>
      </c>
      <c r="B1240" s="2" t="str">
        <f>IFERROR(__xludf.DUMMYFUNCTION("""COMPUTED_VALUE"""),"5 hunger.")</f>
        <v>5 hunger.</v>
      </c>
      <c r="C1240" s="2" t="str">
        <f>IFERROR(__xludf.DUMMYFUNCTION("""COMPUTED_VALUE"""),"Crop")</f>
        <v>Crop</v>
      </c>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2" t="str">
        <f>IFERROR(__xludf.DUMMYFUNCTION("""COMPUTED_VALUE"""),"Peach")</f>
        <v>Peach</v>
      </c>
      <c r="B1241" s="2" t="str">
        <f>IFERROR(__xludf.DUMMYFUNCTION("""COMPUTED_VALUE"""),"5 hunger and thirst.")</f>
        <v>5 hunger and thirst.</v>
      </c>
      <c r="C1241" s="2" t="str">
        <f>IFERROR(__xludf.DUMMYFUNCTION("""COMPUTED_VALUE"""),"Crop")</f>
        <v>Crop</v>
      </c>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2" t="str">
        <f>IFERROR(__xludf.DUMMYFUNCTION("""COMPUTED_VALUE"""),"Corn")</f>
        <v>Corn</v>
      </c>
      <c r="B1242" s="2" t="str">
        <f>IFERROR(__xludf.DUMMYFUNCTION("""COMPUTED_VALUE"""),"10 hunger.")</f>
        <v>10 hunger.</v>
      </c>
      <c r="C1242" s="2" t="str">
        <f>IFERROR(__xludf.DUMMYFUNCTION("""COMPUTED_VALUE"""),"Crop")</f>
        <v>Crop</v>
      </c>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2" t="str">
        <f>IFERROR(__xludf.DUMMYFUNCTION("""COMPUTED_VALUE"""),"Mushroom")</f>
        <v>Mushroom</v>
      </c>
      <c r="B1243" s="2" t="str">
        <f>IFERROR(__xludf.DUMMYFUNCTION("""COMPUTED_VALUE"""),"10 hunger, 25% chance of wandering away from the party.")</f>
        <v>10 hunger, 25% chance of wandering away from the party.</v>
      </c>
      <c r="C1243" s="2" t="str">
        <f>IFERROR(__xludf.DUMMYFUNCTION("""COMPUTED_VALUE"""),"Crop")</f>
        <v>Crop</v>
      </c>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2" t="str">
        <f>IFERROR(__xludf.DUMMYFUNCTION("""COMPUTED_VALUE"""),"Broccoli")</f>
        <v>Broccoli</v>
      </c>
      <c r="B1244" s="2" t="str">
        <f>IFERROR(__xludf.DUMMYFUNCTION("""COMPUTED_VALUE"""),"5 hunger")</f>
        <v>5 hunger</v>
      </c>
      <c r="C1244" s="2" t="str">
        <f>IFERROR(__xludf.DUMMYFUNCTION("""COMPUTED_VALUE"""),"Crop")</f>
        <v>Crop</v>
      </c>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2" t="str">
        <f>IFERROR(__xludf.DUMMYFUNCTION("""COMPUTED_VALUE"""),"Cucumber")</f>
        <v>Cucumber</v>
      </c>
      <c r="B1245" s="2" t="str">
        <f>IFERROR(__xludf.DUMMYFUNCTION("""COMPUTED_VALUE"""),"5 hunger")</f>
        <v>5 hunger</v>
      </c>
      <c r="C1245" s="2" t="str">
        <f>IFERROR(__xludf.DUMMYFUNCTION("""COMPUTED_VALUE"""),"Crop")</f>
        <v>Crop</v>
      </c>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2" t="str">
        <f>IFERROR(__xludf.DUMMYFUNCTION("""COMPUTED_VALUE"""),"Red Pepper/Red Bell Pepper")</f>
        <v>Red Pepper/Red Bell Pepper</v>
      </c>
      <c r="B1246" s="2" t="str">
        <f>IFERROR(__xludf.DUMMYFUNCTION("""COMPUTED_VALUE"""),"5 hunger")</f>
        <v>5 hunger</v>
      </c>
      <c r="C1246" s="2" t="str">
        <f>IFERROR(__xludf.DUMMYFUNCTION("""COMPUTED_VALUE"""),"Crop")</f>
        <v>Crop</v>
      </c>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2" t="str">
        <f>IFERROR(__xludf.DUMMYFUNCTION("""COMPUTED_VALUE"""),"Tomato")</f>
        <v>Tomato</v>
      </c>
      <c r="B1247" s="2" t="str">
        <f>IFERROR(__xludf.DUMMYFUNCTION("""COMPUTED_VALUE"""),"5 hunger and thirst")</f>
        <v>5 hunger and thirst</v>
      </c>
      <c r="C1247" s="2" t="str">
        <f>IFERROR(__xludf.DUMMYFUNCTION("""COMPUTED_VALUE"""),"Crop")</f>
        <v>Crop</v>
      </c>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2" t="str">
        <f>IFERROR(__xludf.DUMMYFUNCTION("""COMPUTED_VALUE"""),"Carrot")</f>
        <v>Carrot</v>
      </c>
      <c r="B1248" s="2" t="str">
        <f>IFERROR(__xludf.DUMMYFUNCTION("""COMPUTED_VALUE"""),"5 hunger")</f>
        <v>5 hunger</v>
      </c>
      <c r="C1248" s="2" t="str">
        <f>IFERROR(__xludf.DUMMYFUNCTION("""COMPUTED_VALUE"""),"Crop")</f>
        <v>Crop</v>
      </c>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2" t="str">
        <f>IFERROR(__xludf.DUMMYFUNCTION("""COMPUTED_VALUE"""),"Brussels Sprout")</f>
        <v>Brussels Sprout</v>
      </c>
      <c r="B1249" s="2" t="str">
        <f>IFERROR(__xludf.DUMMYFUNCTION("""COMPUTED_VALUE"""),"5 hunger")</f>
        <v>5 hunger</v>
      </c>
      <c r="C1249" s="2" t="str">
        <f>IFERROR(__xludf.DUMMYFUNCTION("""COMPUTED_VALUE"""),"Crop")</f>
        <v>Crop</v>
      </c>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2" t="str">
        <f>IFERROR(__xludf.DUMMYFUNCTION("""COMPUTED_VALUE"""),"Cabbage")</f>
        <v>Cabbage</v>
      </c>
      <c r="B1250" s="2" t="str">
        <f>IFERROR(__xludf.DUMMYFUNCTION("""COMPUTED_VALUE"""),"10 hunger")</f>
        <v>10 hunger</v>
      </c>
      <c r="C1250" s="2" t="str">
        <f>IFERROR(__xludf.DUMMYFUNCTION("""COMPUTED_VALUE"""),"Crop")</f>
        <v>Crop</v>
      </c>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2" t="str">
        <f>IFERROR(__xludf.DUMMYFUNCTION("""COMPUTED_VALUE"""),"Potato")</f>
        <v>Potato</v>
      </c>
      <c r="B1251" s="2" t="str">
        <f>IFERROR(__xludf.DUMMYFUNCTION("""COMPUTED_VALUE"""),"5 hunger")</f>
        <v>5 hunger</v>
      </c>
      <c r="C1251" s="2" t="str">
        <f>IFERROR(__xludf.DUMMYFUNCTION("""COMPUTED_VALUE"""),"Crop")</f>
        <v>Crop</v>
      </c>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2" t="str">
        <f>IFERROR(__xludf.DUMMYFUNCTION("""COMPUTED_VALUE"""),"Eggplant")</f>
        <v>Eggplant</v>
      </c>
      <c r="B1252" s="2" t="str">
        <f>IFERROR(__xludf.DUMMYFUNCTION("""COMPUTED_VALUE"""),"10 hunger")</f>
        <v>10 hunger</v>
      </c>
      <c r="C1252" s="2" t="str">
        <f>IFERROR(__xludf.DUMMYFUNCTION("""COMPUTED_VALUE"""),"Crop")</f>
        <v>Crop</v>
      </c>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2" t="str">
        <f>IFERROR(__xludf.DUMMYFUNCTION("""COMPUTED_VALUE"""),"Sweet Potato")</f>
        <v>Sweet Potato</v>
      </c>
      <c r="B1253" s="2" t="str">
        <f>IFERROR(__xludf.DUMMYFUNCTION("""COMPUTED_VALUE"""),"5 hunger")</f>
        <v>5 hunger</v>
      </c>
      <c r="C1253" s="2" t="str">
        <f>IFERROR(__xludf.DUMMYFUNCTION("""COMPUTED_VALUE"""),"Crop")</f>
        <v>Crop</v>
      </c>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2" t="str">
        <f>IFERROR(__xludf.DUMMYFUNCTION("""COMPUTED_VALUE"""),"Turnip")</f>
        <v>Turnip</v>
      </c>
      <c r="B1254" s="2" t="str">
        <f>IFERROR(__xludf.DUMMYFUNCTION("""COMPUTED_VALUE"""),"5 hunger")</f>
        <v>5 hunger</v>
      </c>
      <c r="C1254" s="2" t="str">
        <f>IFERROR(__xludf.DUMMYFUNCTION("""COMPUTED_VALUE"""),"Crop")</f>
        <v>Crop</v>
      </c>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2" t="str">
        <f>IFERROR(__xludf.DUMMYFUNCTION("""COMPUTED_VALUE"""),"Green Chilli")</f>
        <v>Green Chilli</v>
      </c>
      <c r="B1255" s="2" t="str">
        <f>IFERROR(__xludf.DUMMYFUNCTION("""COMPUTED_VALUE"""),"5 hunger")</f>
        <v>5 hunger</v>
      </c>
      <c r="C1255" s="2" t="str">
        <f>IFERROR(__xludf.DUMMYFUNCTION("""COMPUTED_VALUE"""),"Crop")</f>
        <v>Crop</v>
      </c>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2" t="str">
        <f>IFERROR(__xludf.DUMMYFUNCTION("""COMPUTED_VALUE"""),"Onion")</f>
        <v>Onion</v>
      </c>
      <c r="B1256" s="2" t="str">
        <f>IFERROR(__xludf.DUMMYFUNCTION("""COMPUTED_VALUE"""),"5 hunger, 50% Blindness 3 during the next battle.")</f>
        <v>5 hunger, 50% Blindness 3 during the next battle.</v>
      </c>
      <c r="C1256" s="2" t="str">
        <f>IFERROR(__xludf.DUMMYFUNCTION("""COMPUTED_VALUE"""),"Crop")</f>
        <v>Crop</v>
      </c>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2" t="str">
        <f>IFERROR(__xludf.DUMMYFUNCTION("""COMPUTED_VALUE"""),"Lettuce")</f>
        <v>Lettuce</v>
      </c>
      <c r="B1257" s="2" t="str">
        <f>IFERROR(__xludf.DUMMYFUNCTION("""COMPUTED_VALUE"""),"5 hunger")</f>
        <v>5 hunger</v>
      </c>
      <c r="C1257" s="2" t="str">
        <f>IFERROR(__xludf.DUMMYFUNCTION("""COMPUTED_VALUE"""),"Crop")</f>
        <v>Crop</v>
      </c>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2" t="str">
        <f>IFERROR(__xludf.DUMMYFUNCTION("""COMPUTED_VALUE"""),"Radish")</f>
        <v>Radish</v>
      </c>
      <c r="B1258" s="2" t="str">
        <f>IFERROR(__xludf.DUMMYFUNCTION("""COMPUTED_VALUE"""),"5 hunger")</f>
        <v>5 hunger</v>
      </c>
      <c r="C1258" s="2" t="str">
        <f>IFERROR(__xludf.DUMMYFUNCTION("""COMPUTED_VALUE"""),"Crop")</f>
        <v>Crop</v>
      </c>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2" t="str">
        <f>IFERROR(__xludf.DUMMYFUNCTION("""COMPUTED_VALUE"""),"Peas")</f>
        <v>Peas</v>
      </c>
      <c r="B1259" s="2" t="str">
        <f>IFERROR(__xludf.DUMMYFUNCTION("""COMPUTED_VALUE"""),"5 hunger")</f>
        <v>5 hunger</v>
      </c>
      <c r="C1259" s="2" t="str">
        <f>IFERROR(__xludf.DUMMYFUNCTION("""COMPUTED_VALUE"""),"Crop")</f>
        <v>Crop</v>
      </c>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2" t="str">
        <f>IFERROR(__xludf.DUMMYFUNCTION("""COMPUTED_VALUE"""),"Asparagus")</f>
        <v>Asparagus</v>
      </c>
      <c r="B1260" s="2" t="str">
        <f>IFERROR(__xludf.DUMMYFUNCTION("""COMPUTED_VALUE"""),"5 hunger")</f>
        <v>5 hunger</v>
      </c>
      <c r="C1260" s="2" t="str">
        <f>IFERROR(__xludf.DUMMYFUNCTION("""COMPUTED_VALUE"""),"Crop")</f>
        <v>Crop</v>
      </c>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2" t="str">
        <f>IFERROR(__xludf.DUMMYFUNCTION("""COMPUTED_VALUE"""),"Celery")</f>
        <v>Celery</v>
      </c>
      <c r="B1261" s="2" t="str">
        <f>IFERROR(__xludf.DUMMYFUNCTION("""COMPUTED_VALUE"""),"5 hunger")</f>
        <v>5 hunger</v>
      </c>
      <c r="C1261" s="2" t="str">
        <f>IFERROR(__xludf.DUMMYFUNCTION("""COMPUTED_VALUE"""),"Crop")</f>
        <v>Crop</v>
      </c>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2" t="str">
        <f>IFERROR(__xludf.DUMMYFUNCTION("""COMPUTED_VALUE"""),"Green Pepper")</f>
        <v>Green Pepper</v>
      </c>
      <c r="B1262" s="2" t="str">
        <f>IFERROR(__xludf.DUMMYFUNCTION("""COMPUTED_VALUE"""),"5 hunger")</f>
        <v>5 hunger</v>
      </c>
      <c r="C1262" s="2" t="str">
        <f>IFERROR(__xludf.DUMMYFUNCTION("""COMPUTED_VALUE"""),"Crop")</f>
        <v>Crop</v>
      </c>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2" t="str">
        <f>IFERROR(__xludf.DUMMYFUNCTION("""COMPUTED_VALUE"""),"French Beans")</f>
        <v>French Beans</v>
      </c>
      <c r="B1263" s="2" t="str">
        <f>IFERROR(__xludf.DUMMYFUNCTION("""COMPUTED_VALUE"""),"5 hunger")</f>
        <v>5 hunger</v>
      </c>
      <c r="C1263" s="2" t="str">
        <f>IFERROR(__xludf.DUMMYFUNCTION("""COMPUTED_VALUE"""),"Crop")</f>
        <v>Crop</v>
      </c>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2" t="str">
        <f>IFERROR(__xludf.DUMMYFUNCTION("""COMPUTED_VALUE"""),"Spinach")</f>
        <v>Spinach</v>
      </c>
      <c r="B1264" s="2" t="str">
        <f>IFERROR(__xludf.DUMMYFUNCTION("""COMPUTED_VALUE"""),"5 hunger")</f>
        <v>5 hunger</v>
      </c>
      <c r="C1264" s="2" t="str">
        <f>IFERROR(__xludf.DUMMYFUNCTION("""COMPUTED_VALUE"""),"Crop")</f>
        <v>Crop</v>
      </c>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2" t="str">
        <f>IFERROR(__xludf.DUMMYFUNCTION("""COMPUTED_VALUE"""),"Beetroot")</f>
        <v>Beetroot</v>
      </c>
      <c r="B1265" s="2" t="str">
        <f>IFERROR(__xludf.DUMMYFUNCTION("""COMPUTED_VALUE"""),"5 hunger")</f>
        <v>5 hunger</v>
      </c>
      <c r="C1265" s="2" t="str">
        <f>IFERROR(__xludf.DUMMYFUNCTION("""COMPUTED_VALUE"""),"Crop")</f>
        <v>Crop</v>
      </c>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2" t="str">
        <f>IFERROR(__xludf.DUMMYFUNCTION("""COMPUTED_VALUE"""),"Red Chili Peppers ")</f>
        <v>Red Chili Peppers </v>
      </c>
      <c r="B1266" s="2" t="str">
        <f>IFERROR(__xludf.DUMMYFUNCTION("""COMPUTED_VALUE"""),"5 hunger")</f>
        <v>5 hunger</v>
      </c>
      <c r="C1266" s="2" t="str">
        <f>IFERROR(__xludf.DUMMYFUNCTION("""COMPUTED_VALUE"""),"Crop")</f>
        <v>Crop</v>
      </c>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2" t="str">
        <f>IFERROR(__xludf.DUMMYFUNCTION("""COMPUTED_VALUE"""),"Crystal Apple")</f>
        <v>Crystal Apple</v>
      </c>
      <c r="B1267" s="2" t="str">
        <f>IFERROR(__xludf.DUMMYFUNCTION("""COMPUTED_VALUE"""),"When consumed X2 additional Damage towards the users weapons. (Can only use 1 per battle)")</f>
        <v>When consumed X2 additional Damage towards the users weapons. (Can only use 1 per battle)</v>
      </c>
      <c r="C1267" s="2" t="str">
        <f>IFERROR(__xludf.DUMMYFUNCTION("""COMPUTED_VALUE"""),"Item")</f>
        <v>Item</v>
      </c>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2" t="str">
        <f>IFERROR(__xludf.DUMMYFUNCTION("""COMPUTED_VALUE"""),"Dark Crystal Shard")</f>
        <v>Dark Crystal Shard</v>
      </c>
      <c r="B1268" s="2" t="str">
        <f>IFERROR(__xludf.DUMMYFUNCTION("""COMPUTED_VALUE"""),"Quest item, Crafting Material, roll a d20 to see how many you get if this is a loot drop.")</f>
        <v>Quest item, Crafting Material, roll a d20 to see how many you get if this is a loot drop.</v>
      </c>
      <c r="C1268" s="2" t="str">
        <f>IFERROR(__xludf.DUMMYFUNCTION("""COMPUTED_VALUE"""),"Item")</f>
        <v>Item</v>
      </c>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2" t="str">
        <f>IFERROR(__xludf.DUMMYFUNCTION("""COMPUTED_VALUE"""),"Small Fuel Canister")</f>
        <v>Small Fuel Canister</v>
      </c>
      <c r="B1269" s="2" t="str">
        <f>IFERROR(__xludf.DUMMYFUNCTION("""COMPUTED_VALUE"""),"Restores 100 Fuel")</f>
        <v>Restores 100 Fuel</v>
      </c>
      <c r="C1269" s="2" t="str">
        <f>IFERROR(__xludf.DUMMYFUNCTION("""COMPUTED_VALUE"""),"Item")</f>
        <v>Item</v>
      </c>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2" t="str">
        <f>IFERROR(__xludf.DUMMYFUNCTION("""COMPUTED_VALUE"""),"Medium Fuel Canister")</f>
        <v>Medium Fuel Canister</v>
      </c>
      <c r="B1270" s="2" t="str">
        <f>IFERROR(__xludf.DUMMYFUNCTION("""COMPUTED_VALUE"""),"Restores 250 Fuel")</f>
        <v>Restores 250 Fuel</v>
      </c>
      <c r="C1270" s="2" t="str">
        <f>IFERROR(__xludf.DUMMYFUNCTION("""COMPUTED_VALUE"""),"Item")</f>
        <v>Item</v>
      </c>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2" t="str">
        <f>IFERROR(__xludf.DUMMYFUNCTION("""COMPUTED_VALUE"""),"Large Fuel Canister")</f>
        <v>Large Fuel Canister</v>
      </c>
      <c r="B1271" s="2" t="str">
        <f>IFERROR(__xludf.DUMMYFUNCTION("""COMPUTED_VALUE"""),"Restores 500 Fuel")</f>
        <v>Restores 500 Fuel</v>
      </c>
      <c r="C1271" s="2" t="str">
        <f>IFERROR(__xludf.DUMMYFUNCTION("""COMPUTED_VALUE"""),"Item")</f>
        <v>Item</v>
      </c>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2" t="str">
        <f>IFERROR(__xludf.DUMMYFUNCTION("""COMPUTED_VALUE"""),"Letter from the Lord of Spira")</f>
        <v>Letter from the Lord of Spira</v>
      </c>
      <c r="B1272" s="2" t="str">
        <f>IFERROR(__xludf.DUMMYFUNCTION("""COMPUTED_VALUE"""),"Absolved from all crimes whitin The Land of Spira. Can only be used once, Cannot be duplicated")</f>
        <v>Absolved from all crimes whitin The Land of Spira. Can only be used once, Cannot be duplicated</v>
      </c>
      <c r="C1272" s="2" t="str">
        <f>IFERROR(__xludf.DUMMYFUNCTION("""COMPUTED_VALUE"""),"Item")</f>
        <v>Item</v>
      </c>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2" t="str">
        <f>IFERROR(__xludf.DUMMYFUNCTION("""COMPUTED_VALUE"""),"Scroll of Bad Dreams")</f>
        <v>Scroll of Bad Dreams</v>
      </c>
      <c r="B1273" s="2" t="str">
        <f>IFERROR(__xludf.DUMMYFUNCTION("""COMPUTED_VALUE"""),"if you can learn the power you may absorb it and put it in your spell book, otherwise you can read the scroll to use the power once")</f>
        <v>if you can learn the power you may absorb it and put it in your spell book, otherwise you can read the scroll to use the power once</v>
      </c>
      <c r="C1273" s="2" t="str">
        <f>IFERROR(__xludf.DUMMYFUNCTION("""COMPUTED_VALUE"""),"Item")</f>
        <v>Item</v>
      </c>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2" t="str">
        <f>IFERROR(__xludf.DUMMYFUNCTION("""COMPUTED_VALUE"""),"A Jar of Blood")</f>
        <v>A Jar of Blood</v>
      </c>
      <c r="B1274" s="2" t="str">
        <f>IFERROR(__xludf.DUMMYFUNCTION("""COMPUTED_VALUE"""),"Crafting Material, roll a d20 to see how many you get if this is a loot drop.")</f>
        <v>Crafting Material, roll a d20 to see how many you get if this is a loot drop.</v>
      </c>
      <c r="C1274" s="2" t="str">
        <f>IFERROR(__xludf.DUMMYFUNCTION("""COMPUTED_VALUE"""),"Item")</f>
        <v>Item</v>
      </c>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2" t="str">
        <f>IFERROR(__xludf.DUMMYFUNCTION("""COMPUTED_VALUE"""),"Demon Blood")</f>
        <v>Demon Blood</v>
      </c>
      <c r="B1275" s="2" t="str">
        <f>IFERROR(__xludf.DUMMYFUNCTION("""COMPUTED_VALUE"""),"Crafting Material, roll a d20 to see how many you get if this is a loot drop.")</f>
        <v>Crafting Material, roll a d20 to see how many you get if this is a loot drop.</v>
      </c>
      <c r="C1275" s="2" t="str">
        <f>IFERROR(__xludf.DUMMYFUNCTION("""COMPUTED_VALUE"""),"Item")</f>
        <v>Item</v>
      </c>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2" t="str">
        <f>IFERROR(__xludf.DUMMYFUNCTION("""COMPUTED_VALUE"""),"Demon Skull")</f>
        <v>Demon Skull</v>
      </c>
      <c r="B1276" s="2" t="str">
        <f>IFERROR(__xludf.DUMMYFUNCTION("""COMPUTED_VALUE"""),"Crafting Material, roll a d20 to see how many you get if this is a loot drop.")</f>
        <v>Crafting Material, roll a d20 to see how many you get if this is a loot drop.</v>
      </c>
      <c r="C1276" s="2" t="str">
        <f>IFERROR(__xludf.DUMMYFUNCTION("""COMPUTED_VALUE"""),"Item")</f>
        <v>Item</v>
      </c>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2" t="str">
        <f>IFERROR(__xludf.DUMMYFUNCTION("""COMPUTED_VALUE"""),"Volcanic Teeth")</f>
        <v>Volcanic Teeth</v>
      </c>
      <c r="B1277" s="2" t="str">
        <f>IFERROR(__xludf.DUMMYFUNCTION("""COMPUTED_VALUE"""),"Crafting Material, roll a d20 to see how many you get if this is a loot drop.")</f>
        <v>Crafting Material, roll a d20 to see how many you get if this is a loot drop.</v>
      </c>
      <c r="C1277" s="2" t="str">
        <f>IFERROR(__xludf.DUMMYFUNCTION("""COMPUTED_VALUE"""),"Item")</f>
        <v>Item</v>
      </c>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2" t="str">
        <f>IFERROR(__xludf.DUMMYFUNCTION("""COMPUTED_VALUE"""),"Volcanic Serpent Teeth ")</f>
        <v>Volcanic Serpent Teeth </v>
      </c>
      <c r="B1278" s="2" t="str">
        <f>IFERROR(__xludf.DUMMYFUNCTION("""COMPUTED_VALUE"""),"Crafting Material, roll a d20 to see how many you get if this is a loot drop.")</f>
        <v>Crafting Material, roll a d20 to see how many you get if this is a loot drop.</v>
      </c>
      <c r="C1278" s="2" t="str">
        <f>IFERROR(__xludf.DUMMYFUNCTION("""COMPUTED_VALUE"""),"Item")</f>
        <v>Item</v>
      </c>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2" t="str">
        <f>IFERROR(__xludf.DUMMYFUNCTION("""COMPUTED_VALUE"""),"Volcanic Serpent Scales")</f>
        <v>Volcanic Serpent Scales</v>
      </c>
      <c r="B1279" s="2" t="str">
        <f>IFERROR(__xludf.DUMMYFUNCTION("""COMPUTED_VALUE"""),"Crafting Material, roll a d20 to see how many you get if this is a loot drop.")</f>
        <v>Crafting Material, roll a d20 to see how many you get if this is a loot drop.</v>
      </c>
      <c r="C1279" s="2" t="str">
        <f>IFERROR(__xludf.DUMMYFUNCTION("""COMPUTED_VALUE"""),"Item")</f>
        <v>Item</v>
      </c>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2" t="str">
        <f>IFERROR(__xludf.DUMMYFUNCTION("""COMPUTED_VALUE"""),"Lava Panther Leather")</f>
        <v>Lava Panther Leather</v>
      </c>
      <c r="B1280" s="2" t="str">
        <f>IFERROR(__xludf.DUMMYFUNCTION("""COMPUTED_VALUE"""),"Crafting Material, roll a d20 to see how many you get if this is a loot drop.")</f>
        <v>Crafting Material, roll a d20 to see how many you get if this is a loot drop.</v>
      </c>
      <c r="C1280" s="2" t="str">
        <f>IFERROR(__xludf.DUMMYFUNCTION("""COMPUTED_VALUE"""),"Item")</f>
        <v>Item</v>
      </c>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2" t="str">
        <f>IFERROR(__xludf.DUMMYFUNCTION("""COMPUTED_VALUE"""),"Endless Dark Core")</f>
        <v>Endless Dark Core</v>
      </c>
      <c r="B1281" s="2" t="str">
        <f>IFERROR(__xludf.DUMMYFUNCTION("""COMPUTED_VALUE"""),"Return a banished character from banishment without having to fight the Keeper of the Banished. (1 use)")</f>
        <v>Return a banished character from banishment without having to fight the Keeper of the Banished. (1 use)</v>
      </c>
      <c r="C1281" s="2" t="str">
        <f>IFERROR(__xludf.DUMMYFUNCTION("""COMPUTED_VALUE"""),"Item")</f>
        <v>Item</v>
      </c>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2" t="str">
        <f>IFERROR(__xludf.DUMMYFUNCTION("""COMPUTED_VALUE"""),"Endless Dark Dragon Scales")</f>
        <v>Endless Dark Dragon Scales</v>
      </c>
      <c r="B1282" s="2" t="str">
        <f>IFERROR(__xludf.DUMMYFUNCTION("""COMPUTED_VALUE"""),"Crafting Material, roll a d20 to see how many you get if this is a loot drop.")</f>
        <v>Crafting Material, roll a d20 to see how many you get if this is a loot drop.</v>
      </c>
      <c r="C1282" s="2" t="str">
        <f>IFERROR(__xludf.DUMMYFUNCTION("""COMPUTED_VALUE"""),"Item")</f>
        <v>Item</v>
      </c>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2" t="str">
        <f>IFERROR(__xludf.DUMMYFUNCTION("""COMPUTED_VALUE"""),"Magma Stone")</f>
        <v>Magma Stone</v>
      </c>
      <c r="B1283" s="2" t="str">
        <f>IFERROR(__xludf.DUMMYFUNCTION("""COMPUTED_VALUE"""),"Crafting Material, roll a d20 to see how many you get if this is a loot drop.")</f>
        <v>Crafting Material, roll a d20 to see how many you get if this is a loot drop.</v>
      </c>
      <c r="C1283" s="2" t="str">
        <f>IFERROR(__xludf.DUMMYFUNCTION("""COMPUTED_VALUE"""),"Item")</f>
        <v>Item</v>
      </c>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2" t="str">
        <f>IFERROR(__xludf.DUMMYFUNCTION("""COMPUTED_VALUE"""),"Inferno Feather")</f>
        <v>Inferno Feather</v>
      </c>
      <c r="B1284" s="2" t="str">
        <f>IFERROR(__xludf.DUMMYFUNCTION("""COMPUTED_VALUE"""),"Crafting Material, roll a d20 to see how many you get if this is a loot drop.")</f>
        <v>Crafting Material, roll a d20 to see how many you get if this is a loot drop.</v>
      </c>
      <c r="C1284" s="2" t="str">
        <f>IFERROR(__xludf.DUMMYFUNCTION("""COMPUTED_VALUE"""),"Item")</f>
        <v>Item</v>
      </c>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2" t="str">
        <f>IFERROR(__xludf.DUMMYFUNCTION("""COMPUTED_VALUE"""),"Ancient Stone Medallion")</f>
        <v>Ancient Stone Medallion</v>
      </c>
      <c r="B1285" s="2" t="str">
        <f>IFERROR(__xludf.DUMMYFUNCTION("""COMPUTED_VALUE"""),"Allows access to the Ruins of Mana.")</f>
        <v>Allows access to the Ruins of Mana.</v>
      </c>
      <c r="C1285" s="2" t="str">
        <f>IFERROR(__xludf.DUMMYFUNCTION("""COMPUTED_VALUE"""),"Item")</f>
        <v>Item</v>
      </c>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2" t="str">
        <f>IFERROR(__xludf.DUMMYFUNCTION("""COMPUTED_VALUE"""),"Vial of Unknown Liquid")</f>
        <v>Vial of Unknown Liquid</v>
      </c>
      <c r="B1286" s="2" t="str">
        <f>IFERROR(__xludf.DUMMYFUNCTION("""COMPUTED_VALUE"""),"When consumed, roll a d20. For the next 3 rounds, lose the result d20x100 health and gain the result d20x500SP.")</f>
        <v>When consumed, roll a d20. For the next 3 rounds, lose the result d20x100 health and gain the result d20x500SP.</v>
      </c>
      <c r="C1286" s="2" t="str">
        <f>IFERROR(__xludf.DUMMYFUNCTION("""COMPUTED_VALUE"""),"Item")</f>
        <v>Item</v>
      </c>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2" t="str">
        <f>IFERROR(__xludf.DUMMYFUNCTION("""COMPUTED_VALUE"""),"Diamond Fishing Pole ")</f>
        <v>Diamond Fishing Pole </v>
      </c>
      <c r="B1287" s="2" t="str">
        <f>IFERROR(__xludf.DUMMYFUNCTION("""COMPUTED_VALUE"""),"100/100 Uses. Used for fishing.")</f>
        <v>100/100 Uses. Used for fishing.</v>
      </c>
      <c r="C1287" s="2" t="str">
        <f>IFERROR(__xludf.DUMMYFUNCTION("""COMPUTED_VALUE"""),"Item")</f>
        <v>Item</v>
      </c>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2" t="str">
        <f>IFERROR(__xludf.DUMMYFUNCTION("""COMPUTED_VALUE"""),"Obsidian Fishing Pole ")</f>
        <v>Obsidian Fishing Pole </v>
      </c>
      <c r="B1288" s="2" t="str">
        <f>IFERROR(__xludf.DUMMYFUNCTION("""COMPUTED_VALUE"""),"120/120 Uses. Used for fishing.")</f>
        <v>120/120 Uses. Used for fishing.</v>
      </c>
      <c r="C1288" s="2" t="str">
        <f>IFERROR(__xludf.DUMMYFUNCTION("""COMPUTED_VALUE"""),"Item")</f>
        <v>Item</v>
      </c>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2" t="str">
        <f>IFERROR(__xludf.DUMMYFUNCTION("""COMPUTED_VALUE"""),"Golden Pickaxe")</f>
        <v>Golden Pickaxe</v>
      </c>
      <c r="B1289" s="2" t="str">
        <f>IFERROR(__xludf.DUMMYFUNCTION("""COMPUTED_VALUE"""),"80/80 Uses. Used for mining.")</f>
        <v>80/80 Uses. Used for mining.</v>
      </c>
      <c r="C1289" s="2" t="str">
        <f>IFERROR(__xludf.DUMMYFUNCTION("""COMPUTED_VALUE"""),"Item")</f>
        <v>Item</v>
      </c>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2" t="str">
        <f>IFERROR(__xludf.DUMMYFUNCTION("""COMPUTED_VALUE"""),"Wooden Pickaxe")</f>
        <v>Wooden Pickaxe</v>
      </c>
      <c r="B1290" s="2" t="str">
        <f>IFERROR(__xludf.DUMMYFUNCTION("""COMPUTED_VALUE"""),"10/10 Uses. Used for mining.")</f>
        <v>10/10 Uses. Used for mining.</v>
      </c>
      <c r="C1290" s="2" t="str">
        <f>IFERROR(__xludf.DUMMYFUNCTION("""COMPUTED_VALUE"""),"Item")</f>
        <v>Item</v>
      </c>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2" t="str">
        <f>IFERROR(__xludf.DUMMYFUNCTION("""COMPUTED_VALUE"""),"Iron Pickaxe")</f>
        <v>Iron Pickaxe</v>
      </c>
      <c r="B1291" s="2" t="str">
        <f>IFERROR(__xludf.DUMMYFUNCTION("""COMPUTED_VALUE"""),"20/20 Uses. Used for mining.")</f>
        <v>20/20 Uses. Used for mining.</v>
      </c>
      <c r="C1291" s="2" t="str">
        <f>IFERROR(__xludf.DUMMYFUNCTION("""COMPUTED_VALUE"""),"Item")</f>
        <v>Item</v>
      </c>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2" t="str">
        <f>IFERROR(__xludf.DUMMYFUNCTION("""COMPUTED_VALUE"""),"Silver Pickaxe")</f>
        <v>Silver Pickaxe</v>
      </c>
      <c r="B1292" s="2" t="str">
        <f>IFERROR(__xludf.DUMMYFUNCTION("""COMPUTED_VALUE"""),"60/60 Uses. Used for mining.")</f>
        <v>60/60 Uses. Used for mining.</v>
      </c>
      <c r="C1292" s="2" t="str">
        <f>IFERROR(__xludf.DUMMYFUNCTION("""COMPUTED_VALUE"""),"Item")</f>
        <v>Item</v>
      </c>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2" t="str">
        <f>IFERROR(__xludf.DUMMYFUNCTION("""COMPUTED_VALUE"""),"Diamond Pickaxe")</f>
        <v>Diamond Pickaxe</v>
      </c>
      <c r="B1293" s="2" t="str">
        <f>IFERROR(__xludf.DUMMYFUNCTION("""COMPUTED_VALUE"""),"100/100 Uses. Used for mining.")</f>
        <v>100/100 Uses. Used for mining.</v>
      </c>
      <c r="C1293" s="2" t="str">
        <f>IFERROR(__xludf.DUMMYFUNCTION("""COMPUTED_VALUE"""),"Item")</f>
        <v>Item</v>
      </c>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2" t="str">
        <f>IFERROR(__xludf.DUMMYFUNCTION("""COMPUTED_VALUE"""),"Obsidian Pickaxe")</f>
        <v>Obsidian Pickaxe</v>
      </c>
      <c r="B1294" s="2" t="str">
        <f>IFERROR(__xludf.DUMMYFUNCTION("""COMPUTED_VALUE"""),"120/120 Uses. Used for mining.")</f>
        <v>120/120 Uses. Used for mining.</v>
      </c>
      <c r="C1294" s="2" t="str">
        <f>IFERROR(__xludf.DUMMYFUNCTION("""COMPUTED_VALUE"""),"Item")</f>
        <v>Item</v>
      </c>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2" t="str">
        <f>IFERROR(__xludf.DUMMYFUNCTION("""COMPUTED_VALUE"""),"Fire Fishing Pole ")</f>
        <v>Fire Fishing Pole </v>
      </c>
      <c r="B1295" s="2" t="str">
        <f>IFERROR(__xludf.DUMMYFUNCTION("""COMPUTED_VALUE"""),"Made out of Iron. 20/20 Uses. Will cook fish caught giving them an additional hunger. Used for fishing.")</f>
        <v>Made out of Iron. 20/20 Uses. Will cook fish caught giving them an additional hunger. Used for fishing.</v>
      </c>
      <c r="C1295" s="2" t="str">
        <f>IFERROR(__xludf.DUMMYFUNCTION("""COMPUTED_VALUE"""),"Crop")</f>
        <v>Crop</v>
      </c>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2" t="str">
        <f>IFERROR(__xludf.DUMMYFUNCTION("""COMPUTED_VALUE"""),"Golden Fishing Pole ")</f>
        <v>Golden Fishing Pole </v>
      </c>
      <c r="B1296" s="2" t="str">
        <f>IFERROR(__xludf.DUMMYFUNCTION("""COMPUTED_VALUE"""),"80/80 uses. Used for fishing.")</f>
        <v>80/80 uses. Used for fishing.</v>
      </c>
      <c r="C1296" s="2" t="str">
        <f>IFERROR(__xludf.DUMMYFUNCTION("""COMPUTED_VALUE"""),"Item")</f>
        <v>Item</v>
      </c>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2" t="str">
        <f>IFERROR(__xludf.DUMMYFUNCTION("""COMPUTED_VALUE"""),"Wooden Fishing Pole ")</f>
        <v>Wooden Fishing Pole </v>
      </c>
      <c r="B1297" s="2" t="str">
        <f>IFERROR(__xludf.DUMMYFUNCTION("""COMPUTED_VALUE"""),"10/10 uses. Used for fishing.")</f>
        <v>10/10 uses. Used for fishing.</v>
      </c>
      <c r="C1297" s="2" t="str">
        <f>IFERROR(__xludf.DUMMYFUNCTION("""COMPUTED_VALUE"""),"Item")</f>
        <v>Item</v>
      </c>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2" t="str">
        <f>IFERROR(__xludf.DUMMYFUNCTION("""COMPUTED_VALUE"""),"Steel Fishing Pole ")</f>
        <v>Steel Fishing Pole </v>
      </c>
      <c r="B1298" s="2" t="str">
        <f>IFERROR(__xludf.DUMMYFUNCTION("""COMPUTED_VALUE"""),"40/40 Uses. Used for fishing.")</f>
        <v>40/40 Uses. Used for fishing.</v>
      </c>
      <c r="C1298" s="2" t="str">
        <f>IFERROR(__xludf.DUMMYFUNCTION("""COMPUTED_VALUE"""),"Item")</f>
        <v>Item</v>
      </c>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2" t="str">
        <f>IFERROR(__xludf.DUMMYFUNCTION("""COMPUTED_VALUE"""),"Silver Fishing Pole ")</f>
        <v>Silver Fishing Pole </v>
      </c>
      <c r="B1299" s="2" t="str">
        <f>IFERROR(__xludf.DUMMYFUNCTION("""COMPUTED_VALUE"""),"60/60 Uses. Used for fishing.")</f>
        <v>60/60 Uses. Used for fishing.</v>
      </c>
      <c r="C1299" s="2" t="str">
        <f>IFERROR(__xludf.DUMMYFUNCTION("""COMPUTED_VALUE"""),"Item")</f>
        <v>Item</v>
      </c>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2" t="str">
        <f>IFERROR(__xludf.DUMMYFUNCTION("""COMPUTED_VALUE"""),"Iron Fishing Pole ")</f>
        <v>Iron Fishing Pole </v>
      </c>
      <c r="B1300" s="2" t="str">
        <f>IFERROR(__xludf.DUMMYFUNCTION("""COMPUTED_VALUE"""),"20/20 Uses. Used for fishing.")</f>
        <v>20/20 Uses. Used for fishing.</v>
      </c>
      <c r="C1300" s="2" t="str">
        <f>IFERROR(__xludf.DUMMYFUNCTION("""COMPUTED_VALUE"""),"Item")</f>
        <v>Item</v>
      </c>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2" t="str">
        <f>IFERROR(__xludf.DUMMYFUNCTION("""COMPUTED_VALUE"""),"Elemental Crystal")</f>
        <v>Elemental Crystal</v>
      </c>
      <c r="B1301" s="2" t="str">
        <f>IFERROR(__xludf.DUMMYFUNCTION("""COMPUTED_VALUE"""),"Crafting Material, roll a d20 to see how many you get if this is a loot drop.")</f>
        <v>Crafting Material, roll a d20 to see how many you get if this is a loot drop.</v>
      </c>
      <c r="C1301" s="2" t="str">
        <f>IFERROR(__xludf.DUMMYFUNCTION("""COMPUTED_VALUE"""),"Item")</f>
        <v>Item</v>
      </c>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2" t="str">
        <f>IFERROR(__xludf.DUMMYFUNCTION("""COMPUTED_VALUE"""),"Leather")</f>
        <v>Leather</v>
      </c>
      <c r="B1302" s="2" t="str">
        <f>IFERROR(__xludf.DUMMYFUNCTION("""COMPUTED_VALUE"""),"Crafting Material, roll a d20 to see how many you get if this is a loot drop.")</f>
        <v>Crafting Material, roll a d20 to see how many you get if this is a loot drop.</v>
      </c>
      <c r="C1302" s="2" t="str">
        <f>IFERROR(__xludf.DUMMYFUNCTION("""COMPUTED_VALUE"""),"Item")</f>
        <v>Item</v>
      </c>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2" t="str">
        <f>IFERROR(__xludf.DUMMYFUNCTION("""COMPUTED_VALUE"""),"Pearlescent Fishing Rod ")</f>
        <v>Pearlescent Fishing Rod </v>
      </c>
      <c r="B1303" s="2" t="str">
        <f>IFERROR(__xludf.DUMMYFUNCTION("""COMPUTED_VALUE"""),"Allows lava fishing, Unbreakable.")</f>
        <v>Allows lava fishing, Unbreakable.</v>
      </c>
      <c r="C1303" s="2" t="str">
        <f>IFERROR(__xludf.DUMMYFUNCTION("""COMPUTED_VALUE"""),"Item")</f>
        <v>Item</v>
      </c>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2" t="str">
        <f>IFERROR(__xludf.DUMMYFUNCTION("""COMPUTED_VALUE"""),"Mithril")</f>
        <v>Mithril</v>
      </c>
      <c r="B1304" s="2" t="str">
        <f>IFERROR(__xludf.DUMMYFUNCTION("""COMPUTED_VALUE"""),"Crafting Material, roll a d20 to see how many you get if this is a loot drop. A celestial stone holding minor heavenly power.")</f>
        <v>Crafting Material, roll a d20 to see how many you get if this is a loot drop. A celestial stone holding minor heavenly power.</v>
      </c>
      <c r="C1304" s="2" t="str">
        <f>IFERROR(__xludf.DUMMYFUNCTION("""COMPUTED_VALUE"""),"Item")</f>
        <v>Item</v>
      </c>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2" t="str">
        <f>IFERROR(__xludf.DUMMYFUNCTION("""COMPUTED_VALUE"""),"Enchanted Leather")</f>
        <v>Enchanted Leather</v>
      </c>
      <c r="B1305" s="2" t="str">
        <f>IFERROR(__xludf.DUMMYFUNCTION("""COMPUTED_VALUE"""),"Crafting Material, roll a d20 to see how many you get if this is a loot drop.")</f>
        <v>Crafting Material, roll a d20 to see how many you get if this is a loot drop.</v>
      </c>
      <c r="C1305" s="2" t="str">
        <f>IFERROR(__xludf.DUMMYFUNCTION("""COMPUTED_VALUE"""),"Item")</f>
        <v>Item</v>
      </c>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2" t="str">
        <f>IFERROR(__xludf.DUMMYFUNCTION("""COMPUTED_VALUE"""),"Dart")</f>
        <v>Dart</v>
      </c>
      <c r="B1306" s="2" t="str">
        <f>IFERROR(__xludf.DUMMYFUNCTION("""COMPUTED_VALUE"""),"Ammo")</f>
        <v>Ammo</v>
      </c>
      <c r="C1306" s="2" t="str">
        <f>IFERROR(__xludf.DUMMYFUNCTION("""COMPUTED_VALUE"""),"Item")</f>
        <v>Item</v>
      </c>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2" t="str">
        <f>IFERROR(__xludf.DUMMYFUNCTION("""COMPUTED_VALUE"""),"Golden Coin")</f>
        <v>Golden Coin</v>
      </c>
      <c r="B1307" s="2" t="str">
        <f>IFERROR(__xludf.DUMMYFUNCTION("""COMPUTED_VALUE"""),"Flip: If heads 11-20 gain +5 Wisdom and Evasion until the end of battle. If tails 1-10 Half evasion and Wisdom. This item can only be used once per Battle/RP action. Cannot be duplicated.")</f>
        <v>Flip: If heads 11-20 gain +5 Wisdom and Evasion until the end of battle. If tails 1-10 Half evasion and Wisdom. This item can only be used once per Battle/RP action. Cannot be duplicated.</v>
      </c>
      <c r="C1307" s="2" t="str">
        <f>IFERROR(__xludf.DUMMYFUNCTION("""COMPUTED_VALUE"""),"Item")</f>
        <v>Item</v>
      </c>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2" t="str">
        <f>IFERROR(__xludf.DUMMYFUNCTION("""COMPUTED_VALUE"""),"Oil lamp")</f>
        <v>Oil lamp</v>
      </c>
      <c r="B1308" s="2" t="str">
        <f>IFERROR(__xludf.DUMMYFUNCTION("""COMPUTED_VALUE"""),"Illuminates your path or any room your in")</f>
        <v>Illuminates your path or any room your in</v>
      </c>
      <c r="C1308" s="2" t="str">
        <f>IFERROR(__xludf.DUMMYFUNCTION("""COMPUTED_VALUE"""),"Item")</f>
        <v>Item</v>
      </c>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2" t="str">
        <f>IFERROR(__xludf.DUMMYFUNCTION("""COMPUTED_VALUE"""),"Seed")</f>
        <v>Seed</v>
      </c>
      <c r="B1309" s="2" t="str">
        <f>IFERROR(__xludf.DUMMYFUNCTION("""COMPUTED_VALUE"""),"Can harvest in X/X days.")</f>
        <v>Can harvest in X/X days.</v>
      </c>
      <c r="C1309" s="2" t="str">
        <f>IFERROR(__xludf.DUMMYFUNCTION("""COMPUTED_VALUE"""),"Item")</f>
        <v>Item</v>
      </c>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2" t="str">
        <f>IFERROR(__xludf.DUMMYFUNCTION("""COMPUTED_VALUE"""),"Potion of Cure Disease")</f>
        <v>Potion of Cure Disease</v>
      </c>
      <c r="B1310" s="2" t="str">
        <f>IFERROR(__xludf.DUMMYFUNCTION("""COMPUTED_VALUE"""),"Disease Antidote.")</f>
        <v>Disease Antidote.</v>
      </c>
      <c r="C1310" s="2" t="str">
        <f>IFERROR(__xludf.DUMMYFUNCTION("""COMPUTED_VALUE"""),"Item")</f>
        <v>Item</v>
      </c>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2" t="str">
        <f>IFERROR(__xludf.DUMMYFUNCTION("""COMPUTED_VALUE"""),"Poison Vial")</f>
        <v>Poison Vial</v>
      </c>
      <c r="B1311" s="2" t="str">
        <f>IFERROR(__xludf.DUMMYFUNCTION("""COMPUTED_VALUE"""),"Using this will make all your weapon or natural attacks inflict an enemy with Poison 500 for 3 rounds.")</f>
        <v>Using this will make all your weapon or natural attacks inflict an enemy with Poison 500 for 3 rounds.</v>
      </c>
      <c r="C1311" s="2" t="str">
        <f>IFERROR(__xludf.DUMMYFUNCTION("""COMPUTED_VALUE"""),"Item")</f>
        <v>Item</v>
      </c>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2" t="str">
        <f>IFERROR(__xludf.DUMMYFUNCTION("""COMPUTED_VALUE"""),"Stag Meat")</f>
        <v>Stag Meat</v>
      </c>
      <c r="B1312" s="2" t="str">
        <f>IFERROR(__xludf.DUMMYFUNCTION("""COMPUTED_VALUE"""),"Restores 20 hunger")</f>
        <v>Restores 20 hunger</v>
      </c>
      <c r="C1312" s="2" t="str">
        <f>IFERROR(__xludf.DUMMYFUNCTION("""COMPUTED_VALUE"""),"Crop")</f>
        <v>Crop</v>
      </c>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2" t="str">
        <f>IFERROR(__xludf.DUMMYFUNCTION("""COMPUTED_VALUE"""),"Steed Meat")</f>
        <v>Steed Meat</v>
      </c>
      <c r="B1313" s="2" t="str">
        <f>IFERROR(__xludf.DUMMYFUNCTION("""COMPUTED_VALUE"""),"Restores 20 hunger")</f>
        <v>Restores 20 hunger</v>
      </c>
      <c r="C1313" s="2" t="str">
        <f>IFERROR(__xludf.DUMMYFUNCTION("""COMPUTED_VALUE"""),"Crop")</f>
        <v>Crop</v>
      </c>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2" t="str">
        <f>IFERROR(__xludf.DUMMYFUNCTION("""COMPUTED_VALUE"""),"Moonstone")</f>
        <v>Moonstone</v>
      </c>
      <c r="B1314" s="2" t="str">
        <f>IFERROR(__xludf.DUMMYFUNCTION("""COMPUTED_VALUE"""),"Crafting Material, roll a d20 to see how many you get if this is a loot drop.")</f>
        <v>Crafting Material, roll a d20 to see how many you get if this is a loot drop.</v>
      </c>
      <c r="C1314" s="2" t="str">
        <f>IFERROR(__xludf.DUMMYFUNCTION("""COMPUTED_VALUE"""),"Item")</f>
        <v>Item</v>
      </c>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2" t="str">
        <f>IFERROR(__xludf.DUMMYFUNCTION("""COMPUTED_VALUE"""),"Sunstone")</f>
        <v>Sunstone</v>
      </c>
      <c r="B1315" s="2" t="str">
        <f>IFERROR(__xludf.DUMMYFUNCTION("""COMPUTED_VALUE"""),"Crafting Material, roll a d20 to see how many you get if this is a loot drop.")</f>
        <v>Crafting Material, roll a d20 to see how many you get if this is a loot drop.</v>
      </c>
      <c r="C1315" s="2" t="str">
        <f>IFERROR(__xludf.DUMMYFUNCTION("""COMPUTED_VALUE"""),"Item")</f>
        <v>Item</v>
      </c>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2" t="str">
        <f>IFERROR(__xludf.DUMMYFUNCTION("""COMPUTED_VALUE"""),"Tier 1 Treasure Chest (Non-Magical)")</f>
        <v>Tier 1 Treasure Chest (Non-Magical)</v>
      </c>
      <c r="B1316" s="2" t="str">
        <f>IFERROR(__xludf.DUMMYFUNCTION("""COMPUTED_VALUE"""),"Requires a Treasure Chest key to open")</f>
        <v>Requires a Treasure Chest key to open</v>
      </c>
      <c r="C1316" s="2" t="str">
        <f>IFERROR(__xludf.DUMMYFUNCTION("""COMPUTED_VALUE"""),"Item")</f>
        <v>Item</v>
      </c>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2" t="str">
        <f>IFERROR(__xludf.DUMMYFUNCTION("""COMPUTED_VALUE"""),"Tier 2 Treasure Chest (Non-Magical)")</f>
        <v>Tier 2 Treasure Chest (Non-Magical)</v>
      </c>
      <c r="B1317" s="2" t="str">
        <f>IFERROR(__xludf.DUMMYFUNCTION("""COMPUTED_VALUE"""),"Requires a Treasure Chest key to open")</f>
        <v>Requires a Treasure Chest key to open</v>
      </c>
      <c r="C1317" s="2" t="str">
        <f>IFERROR(__xludf.DUMMYFUNCTION("""COMPUTED_VALUE"""),"Item")</f>
        <v>Item</v>
      </c>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2" t="str">
        <f>IFERROR(__xludf.DUMMYFUNCTION("""COMPUTED_VALUE"""),"Tier 3 Treasure Chest (Non-Magical)")</f>
        <v>Tier 3 Treasure Chest (Non-Magical)</v>
      </c>
      <c r="B1318" s="2" t="str">
        <f>IFERROR(__xludf.DUMMYFUNCTION("""COMPUTED_VALUE"""),"Requires a Treasure Chest key to open")</f>
        <v>Requires a Treasure Chest key to open</v>
      </c>
      <c r="C1318" s="2" t="str">
        <f>IFERROR(__xludf.DUMMYFUNCTION("""COMPUTED_VALUE"""),"Item")</f>
        <v>Item</v>
      </c>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2" t="str">
        <f>IFERROR(__xludf.DUMMYFUNCTION("""COMPUTED_VALUE"""),"Treasure Chest Key (Non-Magical)")</f>
        <v>Treasure Chest Key (Non-Magical)</v>
      </c>
      <c r="B1319" s="2" t="str">
        <f>IFERROR(__xludf.DUMMYFUNCTION("""COMPUTED_VALUE"""),"Unlocks Tier 1-3 Treasure Chests.")</f>
        <v>Unlocks Tier 1-3 Treasure Chests.</v>
      </c>
      <c r="C1319" s="2" t="str">
        <f>IFERROR(__xludf.DUMMYFUNCTION("""COMPUTED_VALUE"""),"Item")</f>
        <v>Item</v>
      </c>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2" t="str">
        <f>IFERROR(__xludf.DUMMYFUNCTION("""COMPUTED_VALUE"""),"Random Dragon Egg")</f>
        <v>Random Dragon Egg</v>
      </c>
      <c r="B1320" s="2" t="str">
        <f>IFERROR(__xludf.DUMMYFUNCTION("""COMPUTED_VALUE"""),"determined by DM/GM")</f>
        <v>determined by DM/GM</v>
      </c>
      <c r="C1320" s="2" t="str">
        <f>IFERROR(__xludf.DUMMYFUNCTION("""COMPUTED_VALUE"""),"Item")</f>
        <v>Item</v>
      </c>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2" t="str">
        <f>IFERROR(__xludf.DUMMYFUNCTION("""COMPUTED_VALUE"""),"Poisoned Bolts")</f>
        <v>Poisoned Bolts</v>
      </c>
      <c r="B1321" s="2" t="str">
        <f>IFERROR(__xludf.DUMMYFUNCTION("""COMPUTED_VALUE"""),"+5000 poison damage per round for 3 rounds")</f>
        <v>+5000 poison damage per round for 3 rounds</v>
      </c>
      <c r="C1321" s="2" t="str">
        <f>IFERROR(__xludf.DUMMYFUNCTION("""COMPUTED_VALUE"""),"Item")</f>
        <v>Item</v>
      </c>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2" t="str">
        <f>IFERROR(__xludf.DUMMYFUNCTION("""COMPUTED_VALUE"""),"Standard Missile")</f>
        <v>Standard Missile</v>
      </c>
      <c r="B1322" s="2" t="str">
        <f>IFERROR(__xludf.DUMMYFUNCTION("""COMPUTED_VALUE"""),"Missile Turret Ammunition.+50,000 Damage. +50,000 Fire Damage. roll a d5 to see how many you get if this is a loot drop.")</f>
        <v>Missile Turret Ammunition.+50,000 Damage. +50,000 Fire Damage. roll a d5 to see how many you get if this is a loot drop.</v>
      </c>
      <c r="C1322" s="2" t="str">
        <f>IFERROR(__xludf.DUMMYFUNCTION("""COMPUTED_VALUE"""),"Item")</f>
        <v>Item</v>
      </c>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2" t="str">
        <f>IFERROR(__xludf.DUMMYFUNCTION("""COMPUTED_VALUE"""),"Nuclear Missile")</f>
        <v>Nuclear Missile</v>
      </c>
      <c r="B1323" s="2" t="str">
        <f>IFERROR(__xludf.DUMMYFUNCTION("""COMPUTED_VALUE"""),"Missile Turret Ammunition.+100,000 Damage. +100,000 Fire Damage. +Burn 10,000. +Poison 10,000. roll a d5 to see how many you get if this is a loot drop.")</f>
        <v>Missile Turret Ammunition.+100,000 Damage. +100,000 Fire Damage. +Burn 10,000. +Poison 10,000. roll a d5 to see how many you get if this is a loot drop.</v>
      </c>
      <c r="C1323" s="2" t="str">
        <f>IFERROR(__xludf.DUMMYFUNCTION("""COMPUTED_VALUE"""),"Item")</f>
        <v>Item</v>
      </c>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2" t="str">
        <f>IFERROR(__xludf.DUMMYFUNCTION("""COMPUTED_VALUE"""),"EMP Missile")</f>
        <v>EMP Missile</v>
      </c>
      <c r="B1324" s="2" t="str">
        <f>IFERROR(__xludf.DUMMYFUNCTION("""COMPUTED_VALUE"""),"Missile Turret Ammunition. +50,000 Damage. +50,000 Storm Damage. +25% chance the target(s) losses it's next turn. roll a d5 to see how many you get if this is a loot drop.")</f>
        <v>Missile Turret Ammunition. +50,000 Damage. +50,000 Storm Damage. +25% chance the target(s) losses it's next turn. roll a d5 to see how many you get if this is a loot drop.</v>
      </c>
      <c r="C1324" s="2" t="str">
        <f>IFERROR(__xludf.DUMMYFUNCTION("""COMPUTED_VALUE"""),"Item")</f>
        <v>Item</v>
      </c>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2" t="str">
        <f>IFERROR(__xludf.DUMMYFUNCTION("""COMPUTED_VALUE"""),"Chaos Bullet")</f>
        <v>Chaos Bullet</v>
      </c>
      <c r="B1325" s="2" t="str">
        <f>IFERROR(__xludf.DUMMYFUNCTION("""COMPUTED_VALUE"""),"Firearm Ammunition. +100 chaos damage. roll a d20 to see how many you get if this is a loot drop.")</f>
        <v>Firearm Ammunition. +100 chaos damage. roll a d20 to see how many you get if this is a loot drop.</v>
      </c>
      <c r="C1325" s="2" t="str">
        <f>IFERROR(__xludf.DUMMYFUNCTION("""COMPUTED_VALUE"""),"Item")</f>
        <v>Item</v>
      </c>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2" t="str">
        <f>IFERROR(__xludf.DUMMYFUNCTION("""COMPUTED_VALUE"""),"Dark Bullet")</f>
        <v>Dark Bullet</v>
      </c>
      <c r="B1326" s="2" t="str">
        <f>IFERROR(__xludf.DUMMYFUNCTION("""COMPUTED_VALUE"""),"Firearm Ammunition. +100 dark damage. roll a d20 to see how many you get if this is a loot drop.")</f>
        <v>Firearm Ammunition. +100 dark damage. roll a d20 to see how many you get if this is a loot drop.</v>
      </c>
      <c r="C1326" s="2" t="str">
        <f>IFERROR(__xludf.DUMMYFUNCTION("""COMPUTED_VALUE"""),"Item")</f>
        <v>Item</v>
      </c>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2" t="str">
        <f>IFERROR(__xludf.DUMMYFUNCTION("""COMPUTED_VALUE"""),"Earth Bullet")</f>
        <v>Earth Bullet</v>
      </c>
      <c r="B1327" s="2" t="str">
        <f>IFERROR(__xludf.DUMMYFUNCTION("""COMPUTED_VALUE"""),"Firearm Ammunition. +100 earth damage. roll a d20 to see how many you get if this is a loot drop.")</f>
        <v>Firearm Ammunition. +100 earth damage. roll a d20 to see how many you get if this is a loot drop.</v>
      </c>
      <c r="C1327" s="2" t="str">
        <f>IFERROR(__xludf.DUMMYFUNCTION("""COMPUTED_VALUE"""),"Item")</f>
        <v>Item</v>
      </c>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2" t="str">
        <f>IFERROR(__xludf.DUMMYFUNCTION("""COMPUTED_VALUE"""),"Fire Bullet")</f>
        <v>Fire Bullet</v>
      </c>
      <c r="B1328" s="2" t="str">
        <f>IFERROR(__xludf.DUMMYFUNCTION("""COMPUTED_VALUE"""),"Firearm Ammunition. +100 fire damage. roll a d20 to see how many you get if this is a loot drop.")</f>
        <v>Firearm Ammunition. +100 fire damage. roll a d20 to see how many you get if this is a loot drop.</v>
      </c>
      <c r="C1328" s="2" t="str">
        <f>IFERROR(__xludf.DUMMYFUNCTION("""COMPUTED_VALUE"""),"Item")</f>
        <v>Item</v>
      </c>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2" t="str">
        <f>IFERROR(__xludf.DUMMYFUNCTION("""COMPUTED_VALUE"""),"Light Bullet")</f>
        <v>Light Bullet</v>
      </c>
      <c r="B1329" s="2" t="str">
        <f>IFERROR(__xludf.DUMMYFUNCTION("""COMPUTED_VALUE"""),"Firearm Ammunition. +100 light damage. roll a d20 to see how many you get if this is a loot drop.")</f>
        <v>Firearm Ammunition. +100 light damage. roll a d20 to see how many you get if this is a loot drop.</v>
      </c>
      <c r="C1329" s="2" t="str">
        <f>IFERROR(__xludf.DUMMYFUNCTION("""COMPUTED_VALUE"""),"Item")</f>
        <v>Item</v>
      </c>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2" t="str">
        <f>IFERROR(__xludf.DUMMYFUNCTION("""COMPUTED_VALUE"""),"Spectral Bullet")</f>
        <v>Spectral Bullet</v>
      </c>
      <c r="B1330" s="2" t="str">
        <f>IFERROR(__xludf.DUMMYFUNCTION("""COMPUTED_VALUE"""),"Firearm Ammunition. +100 spirit damage. roll a d20 to see how many you get if this is a loot drop.")</f>
        <v>Firearm Ammunition. +100 spirit damage. roll a d20 to see how many you get if this is a loot drop.</v>
      </c>
      <c r="C1330" s="2" t="str">
        <f>IFERROR(__xludf.DUMMYFUNCTION("""COMPUTED_VALUE"""),"Item")</f>
        <v>Item</v>
      </c>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2" t="str">
        <f>IFERROR(__xludf.DUMMYFUNCTION("""COMPUTED_VALUE"""),"Stunning Bullet")</f>
        <v>Stunning Bullet</v>
      </c>
      <c r="B1331" s="2" t="str">
        <f>IFERROR(__xludf.DUMMYFUNCTION("""COMPUTED_VALUE"""),"Firearm Ammunition. +100 storm damage. +25% chance of Stun 3 to the enemy if using no more than 1 bullet. roll a d20 to see how many you get if this is a loot drop.")</f>
        <v>Firearm Ammunition. +100 storm damage. +25% chance of Stun 3 to the enemy if using no more than 1 bullet. roll a d20 to see how many you get if this is a loot drop.</v>
      </c>
      <c r="C1331" s="2" t="str">
        <f>IFERROR(__xludf.DUMMYFUNCTION("""COMPUTED_VALUE"""),"Item")</f>
        <v>Item</v>
      </c>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2" t="str">
        <f>IFERROR(__xludf.DUMMYFUNCTION("""COMPUTED_VALUE"""),"Freezing Bullet")</f>
        <v>Freezing Bullet</v>
      </c>
      <c r="B1332" s="2" t="str">
        <f>IFERROR(__xludf.DUMMYFUNCTION("""COMPUTED_VALUE"""),"Firearm Ammunition. +100 fire damage. +25% chance of Freeze to the enemy if using no more than 1 bullet. roll a d20 to see how many you get if this is a loot drop.")</f>
        <v>Firearm Ammunition. +100 fire damage. +25% chance of Freeze to the enemy if using no more than 1 bullet. roll a d20 to see how many you get if this is a loot drop.</v>
      </c>
      <c r="C1332" s="2" t="str">
        <f>IFERROR(__xludf.DUMMYFUNCTION("""COMPUTED_VALUE"""),"Item")</f>
        <v>Item</v>
      </c>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2" t="str">
        <f>IFERROR(__xludf.DUMMYFUNCTION("""COMPUTED_VALUE"""),"Healing Bullet")</f>
        <v>Healing Bullet</v>
      </c>
      <c r="B1333" s="2" t="str">
        <f>IFERROR(__xludf.DUMMYFUNCTION("""COMPUTED_VALUE"""),"Firearm Ammunition. +Restores 1000 HP and SP to the target if using no more than 1 bullet. roll a d20 to see how many you get if this is a loot drop.")</f>
        <v>Firearm Ammunition. +Restores 1000 HP and SP to the target if using no more than 1 bullet. roll a d20 to see how many you get if this is a loot drop.</v>
      </c>
      <c r="C1333" s="2" t="str">
        <f>IFERROR(__xludf.DUMMYFUNCTION("""COMPUTED_VALUE"""),"Item")</f>
        <v>Item</v>
      </c>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2" t="str">
        <f>IFERROR(__xludf.DUMMYFUNCTION("""COMPUTED_VALUE"""),"Celestial Arrow")</f>
        <v>Celestial Arrow</v>
      </c>
      <c r="B1334" s="2" t="str">
        <f>IFERROR(__xludf.DUMMYFUNCTION("""COMPUTED_VALUE"""),"Bow Ammunition. +500 celestial damage. roll a d20 to see how many you get if this is a loot drop.")</f>
        <v>Bow Ammunition. +500 celestial damage. roll a d20 to see how many you get if this is a loot drop.</v>
      </c>
      <c r="C1334" s="2" t="str">
        <f>IFERROR(__xludf.DUMMYFUNCTION("""COMPUTED_VALUE"""),"Item")</f>
        <v>Item</v>
      </c>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2" t="str">
        <f>IFERROR(__xludf.DUMMYFUNCTION("""COMPUTED_VALUE"""),"Chaos Arrow")</f>
        <v>Chaos Arrow</v>
      </c>
      <c r="B1335" s="2" t="str">
        <f>IFERROR(__xludf.DUMMYFUNCTION("""COMPUTED_VALUE"""),"Bow Ammunition. +500 chaos damage. roll a d20 to see how many you get if this is a loot drop.")</f>
        <v>Bow Ammunition. +500 chaos damage. roll a d20 to see how many you get if this is a loot drop.</v>
      </c>
      <c r="C1335" s="2" t="str">
        <f>IFERROR(__xludf.DUMMYFUNCTION("""COMPUTED_VALUE"""),"Item")</f>
        <v>Item</v>
      </c>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2" t="str">
        <f>IFERROR(__xludf.DUMMYFUNCTION("""COMPUTED_VALUE"""),"Dark Arrow")</f>
        <v>Dark Arrow</v>
      </c>
      <c r="B1336" s="2" t="str">
        <f>IFERROR(__xludf.DUMMYFUNCTION("""COMPUTED_VALUE"""),"Bow Ammunition. +500 dark damage. roll a d20 to see how many you get if this is a loot drop.")</f>
        <v>Bow Ammunition. +500 dark damage. roll a d20 to see how many you get if this is a loot drop.</v>
      </c>
      <c r="C1336" s="2" t="str">
        <f>IFERROR(__xludf.DUMMYFUNCTION("""COMPUTED_VALUE"""),"Item")</f>
        <v>Item</v>
      </c>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2" t="str">
        <f>IFERROR(__xludf.DUMMYFUNCTION("""COMPUTED_VALUE"""),"Earth Arrow")</f>
        <v>Earth Arrow</v>
      </c>
      <c r="B1337" s="2" t="str">
        <f>IFERROR(__xludf.DUMMYFUNCTION("""COMPUTED_VALUE"""),"Bow Ammunition. +500 earth damage. roll a d20 to see how many you get if this is a loot drop.")</f>
        <v>Bow Ammunition. +500 earth damage. roll a d20 to see how many you get if this is a loot drop.</v>
      </c>
      <c r="C1337" s="2" t="str">
        <f>IFERROR(__xludf.DUMMYFUNCTION("""COMPUTED_VALUE"""),"Item")</f>
        <v>Item</v>
      </c>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2" t="str">
        <f>IFERROR(__xludf.DUMMYFUNCTION("""COMPUTED_VALUE"""),"Fire Arrow")</f>
        <v>Fire Arrow</v>
      </c>
      <c r="B1338" s="2" t="str">
        <f>IFERROR(__xludf.DUMMYFUNCTION("""COMPUTED_VALUE"""),"Bow Ammunition. +500 fire damage. roll a d20 to see how many you get if this is a loot drop.")</f>
        <v>Bow Ammunition. +500 fire damage. roll a d20 to see how many you get if this is a loot drop.</v>
      </c>
      <c r="C1338" s="2" t="str">
        <f>IFERROR(__xludf.DUMMYFUNCTION("""COMPUTED_VALUE"""),"Item")</f>
        <v>Item</v>
      </c>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2" t="str">
        <f>IFERROR(__xludf.DUMMYFUNCTION("""COMPUTED_VALUE"""),"Light Arrow")</f>
        <v>Light Arrow</v>
      </c>
      <c r="B1339" s="2" t="str">
        <f>IFERROR(__xludf.DUMMYFUNCTION("""COMPUTED_VALUE"""),"Bow Ammunition. +500 light damage. roll a d20 to see how many you get if this is a loot drop.")</f>
        <v>Bow Ammunition. +500 light damage. roll a d20 to see how many you get if this is a loot drop.</v>
      </c>
      <c r="C1339" s="2" t="str">
        <f>IFERROR(__xludf.DUMMYFUNCTION("""COMPUTED_VALUE"""),"Item")</f>
        <v>Item</v>
      </c>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2" t="str">
        <f>IFERROR(__xludf.DUMMYFUNCTION("""COMPUTED_VALUE"""),"Spectral Arrow")</f>
        <v>Spectral Arrow</v>
      </c>
      <c r="B1340" s="2" t="str">
        <f>IFERROR(__xludf.DUMMYFUNCTION("""COMPUTED_VALUE"""),"Bow Ammunition. +500 spirit damage. roll a d20 to see how many you get if this is a loot drop.")</f>
        <v>Bow Ammunition. +500 spirit damage. roll a d20 to see how many you get if this is a loot drop.</v>
      </c>
      <c r="C1340" s="2" t="str">
        <f>IFERROR(__xludf.DUMMYFUNCTION("""COMPUTED_VALUE"""),"Item")</f>
        <v>Item</v>
      </c>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2" t="str">
        <f>IFERROR(__xludf.DUMMYFUNCTION("""COMPUTED_VALUE"""),"Stunning Arrow")</f>
        <v>Stunning Arrow</v>
      </c>
      <c r="B1341" s="2" t="str">
        <f>IFERROR(__xludf.DUMMYFUNCTION("""COMPUTED_VALUE"""),"Bow Ammunition. +500 storm damage. +25% chance of Stun 3. roll a d20 to see how many you get if this is a loot drop.")</f>
        <v>Bow Ammunition. +500 storm damage. +25% chance of Stun 3. roll a d20 to see how many you get if this is a loot drop.</v>
      </c>
      <c r="C1341" s="2" t="str">
        <f>IFERROR(__xludf.DUMMYFUNCTION("""COMPUTED_VALUE"""),"Item")</f>
        <v>Item</v>
      </c>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2" t="str">
        <f>IFERROR(__xludf.DUMMYFUNCTION("""COMPUTED_VALUE"""),"Freezing Arrow")</f>
        <v>Freezing Arrow</v>
      </c>
      <c r="B1342" s="2" t="str">
        <f>IFERROR(__xludf.DUMMYFUNCTION("""COMPUTED_VALUE"""),"Bow Ammunition. +500 water damage. +25% chance of Freeze to the enemy. roll a d20 to see how many you get if this is a loot drop.")</f>
        <v>Bow Ammunition. +500 water damage. +25% chance of Freeze to the enemy. roll a d20 to see how many you get if this is a loot drop.</v>
      </c>
      <c r="C1342" s="2" t="str">
        <f>IFERROR(__xludf.DUMMYFUNCTION("""COMPUTED_VALUE"""),"Item")</f>
        <v>Item</v>
      </c>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2" t="str">
        <f>IFERROR(__xludf.DUMMYFUNCTION("""COMPUTED_VALUE"""),"Healing Arrow")</f>
        <v>Healing Arrow</v>
      </c>
      <c r="B1343" s="2" t="str">
        <f>IFERROR(__xludf.DUMMYFUNCTION("""COMPUTED_VALUE"""),"Bow Ammunition. +Restores 1000 HP and SP to the target. roll a d20 to see how many you get if this is a loot drop.")</f>
        <v>Bow Ammunition. +Restores 1000 HP and SP to the target. roll a d20 to see how many you get if this is a loot drop.</v>
      </c>
      <c r="C1343" s="2" t="str">
        <f>IFERROR(__xludf.DUMMYFUNCTION("""COMPUTED_VALUE"""),"Item")</f>
        <v>Item</v>
      </c>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2" t="str">
        <f>IFERROR(__xludf.DUMMYFUNCTION("""COMPUTED_VALUE"""),"Celestial Bullet")</f>
        <v>Celestial Bullet</v>
      </c>
      <c r="B1344" s="2" t="str">
        <f>IFERROR(__xludf.DUMMYFUNCTION("""COMPUTED_VALUE"""),"Firearm Ammunition. +100 celestial damage. roll a d20 to see how many you get if this is a loot drop.")</f>
        <v>Firearm Ammunition. +100 celestial damage. roll a d20 to see how many you get if this is a loot drop.</v>
      </c>
      <c r="C1344" s="2" t="str">
        <f>IFERROR(__xludf.DUMMYFUNCTION("""COMPUTED_VALUE"""),"Item")</f>
        <v>Item</v>
      </c>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2" t="str">
        <f>IFERROR(__xludf.DUMMYFUNCTION("""COMPUTED_VALUE"""),"Fire Cannon Ball")</f>
        <v>Fire Cannon Ball</v>
      </c>
      <c r="B1345" s="2" t="str">
        <f>IFERROR(__xludf.DUMMYFUNCTION("""COMPUTED_VALUE"""),"Fireball Cannon Ammunition, +5000 fire damage. roll a d20 to see how many you get if this is a loot drop.")</f>
        <v>Fireball Cannon Ammunition, +5000 fire damage. roll a d20 to see how many you get if this is a loot drop.</v>
      </c>
      <c r="C1345" s="2" t="str">
        <f>IFERROR(__xludf.DUMMYFUNCTION("""COMPUTED_VALUE"""),"Item")</f>
        <v>Item</v>
      </c>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2" t="str">
        <f>IFERROR(__xludf.DUMMYFUNCTION("""COMPUTED_VALUE"""),"Torpedo")</f>
        <v>Torpedo</v>
      </c>
      <c r="B1346" s="2" t="str">
        <f>IFERROR(__xludf.DUMMYFUNCTION("""COMPUTED_VALUE"""),"Torpedo Launcher Ammunition. +10,000 damage. roll a d20 to see how many you get if this is a loot drop.")</f>
        <v>Torpedo Launcher Ammunition. +10,000 damage. roll a d20 to see how many you get if this is a loot drop.</v>
      </c>
      <c r="C1346" s="2" t="str">
        <f>IFERROR(__xludf.DUMMYFUNCTION("""COMPUTED_VALUE"""),"Item")</f>
        <v>Item</v>
      </c>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2" t="str">
        <f>IFERROR(__xludf.DUMMYFUNCTION("""COMPUTED_VALUE"""),"Fragmentation Grenade")</f>
        <v>Fragmentation Grenade</v>
      </c>
      <c r="B1347" s="2" t="str">
        <f>IFERROR(__xludf.DUMMYFUNCTION("""COMPUTED_VALUE"""),"Deals 10000 damage to all enemies.")</f>
        <v>Deals 10000 damage to all enemies.</v>
      </c>
      <c r="C1347" s="2" t="str">
        <f>IFERROR(__xludf.DUMMYFUNCTION("""COMPUTED_VALUE"""),"Grenade")</f>
        <v>Grenade</v>
      </c>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2" t="str">
        <f>IFERROR(__xludf.DUMMYFUNCTION("""COMPUTED_VALUE"""),"Flashbang")</f>
        <v>Flashbang</v>
      </c>
      <c r="B1348" s="2" t="str">
        <f>IFERROR(__xludf.DUMMYFUNCTION("""COMPUTED_VALUE"""),"Deals 5000 Light damage and has a 15% chance to inflict Blindness 2 to all enemies.")</f>
        <v>Deals 5000 Light damage and has a 15% chance to inflict Blindness 2 to all enemies.</v>
      </c>
      <c r="C1348" s="2" t="str">
        <f>IFERROR(__xludf.DUMMYFUNCTION("""COMPUTED_VALUE"""),"Grenade")</f>
        <v>Grenade</v>
      </c>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2" t="str">
        <f>IFERROR(__xludf.DUMMYFUNCTION("""COMPUTED_VALUE"""),"Earth Golem Core")</f>
        <v>Earth Golem Core</v>
      </c>
      <c r="B1349" s="2" t="str">
        <f>IFERROR(__xludf.DUMMYFUNCTION("""COMPUTED_VALUE"""),"Summons an Earth Golem to battle (Can only be used once)")</f>
        <v>Summons an Earth Golem to battle (Can only be used once)</v>
      </c>
      <c r="C1349" s="2" t="str">
        <f>IFERROR(__xludf.DUMMYFUNCTION("""COMPUTED_VALUE"""),"Item")</f>
        <v>Item</v>
      </c>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2" t="str">
        <f>IFERROR(__xludf.DUMMYFUNCTION("""COMPUTED_VALUE"""),"Nailbomb")</f>
        <v>Nailbomb</v>
      </c>
      <c r="B1350" s="2" t="str">
        <f>IFERROR(__xludf.DUMMYFUNCTION("""COMPUTED_VALUE"""),"Deals 5000 bleed damage and has a 25% chance of inflicting bleed 2500 for 3 rounds to all enemies.")</f>
        <v>Deals 5000 bleed damage and has a 25% chance of inflicting bleed 2500 for 3 rounds to all enemies.</v>
      </c>
      <c r="C1350" s="2" t="str">
        <f>IFERROR(__xludf.DUMMYFUNCTION("""COMPUTED_VALUE"""),"Grenade")</f>
        <v>Grenade</v>
      </c>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2" t="str">
        <f>IFERROR(__xludf.DUMMYFUNCTION("""COMPUTED_VALUE"""),"Molotov")</f>
        <v>Molotov</v>
      </c>
      <c r="B1351" s="2" t="str">
        <f>IFERROR(__xludf.DUMMYFUNCTION("""COMPUTED_VALUE"""),"Deals 5000 fire damage and has a 25% chance of inflicting burn 2500 for 3 rounds to all enemies.")</f>
        <v>Deals 5000 fire damage and has a 25% chance of inflicting burn 2500 for 3 rounds to all enemies.</v>
      </c>
      <c r="C1351" s="2" t="str">
        <f>IFERROR(__xludf.DUMMYFUNCTION("""COMPUTED_VALUE"""),"Grenade")</f>
        <v>Grenade</v>
      </c>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2" t="str">
        <f>IFERROR(__xludf.DUMMYFUNCTION("""COMPUTED_VALUE"""),"Smoke Bomb")</f>
        <v>Smoke Bomb</v>
      </c>
      <c r="B1352" s="2" t="str">
        <f>IFERROR(__xludf.DUMMYFUNCTION("""COMPUTED_VALUE"""),"Conceals you and gives you +5 mobility when fleeing.")</f>
        <v>Conceals you and gives you +5 mobility when fleeing.</v>
      </c>
      <c r="C1352" s="2" t="str">
        <f>IFERROR(__xludf.DUMMYFUNCTION("""COMPUTED_VALUE"""),"Grenade")</f>
        <v>Grenade</v>
      </c>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2" t="str">
        <f>IFERROR(__xludf.DUMMYFUNCTION("""COMPUTED_VALUE"""),"Gas Grenade")</f>
        <v>Gas Grenade</v>
      </c>
      <c r="B1353" s="2" t="str">
        <f>IFERROR(__xludf.DUMMYFUNCTION("""COMPUTED_VALUE"""),"Inflicts poison 5000 for 3 rounds to all enemies.")</f>
        <v>Inflicts poison 5000 for 3 rounds to all enemies.</v>
      </c>
      <c r="C1353" s="2" t="str">
        <f>IFERROR(__xludf.DUMMYFUNCTION("""COMPUTED_VALUE"""),"Grenade")</f>
        <v>Grenade</v>
      </c>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2" t="str">
        <f>IFERROR(__xludf.DUMMYFUNCTION("""COMPUTED_VALUE"""),"Booze Bomb")</f>
        <v>Booze Bomb</v>
      </c>
      <c r="B1354" s="2" t="str">
        <f>IFERROR(__xludf.DUMMYFUNCTION("""COMPUTED_VALUE"""),"75% to inflict disoriented 5 to all enemies.")</f>
        <v>75% to inflict disoriented 5 to all enemies.</v>
      </c>
      <c r="C1354" s="2" t="str">
        <f>IFERROR(__xludf.DUMMYFUNCTION("""COMPUTED_VALUE"""),"Grenade")</f>
        <v>Grenade</v>
      </c>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2" t="str">
        <f>IFERROR(__xludf.DUMMYFUNCTION("""COMPUTED_VALUE"""),"Ice bomb")</f>
        <v>Ice bomb</v>
      </c>
      <c r="B1355" s="2" t="str">
        <f>IFERROR(__xludf.DUMMYFUNCTION("""COMPUTED_VALUE"""),"50% chance to freeze targets to all enemies.")</f>
        <v>50% chance to freeze targets to all enemies.</v>
      </c>
      <c r="C1355" s="2" t="str">
        <f>IFERROR(__xludf.DUMMYFUNCTION("""COMPUTED_VALUE"""),"Grenade")</f>
        <v>Grenade</v>
      </c>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2" t="str">
        <f>IFERROR(__xludf.DUMMYFUNCTION("""COMPUTED_VALUE"""),"Holy Water")</f>
        <v>Holy Water</v>
      </c>
      <c r="B1356" s="2" t="str">
        <f>IFERROR(__xludf.DUMMYFUNCTION("""COMPUTED_VALUE"""),"Deals 10000 Light Damage")</f>
        <v>Deals 10000 Light Damage</v>
      </c>
      <c r="C1356" s="2" t="str">
        <f>IFERROR(__xludf.DUMMYFUNCTION("""COMPUTED_VALUE"""),"Grenade")</f>
        <v>Grenade</v>
      </c>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2" t="str">
        <f>IFERROR(__xludf.DUMMYFUNCTION("""COMPUTED_VALUE"""),"Salve Grenade")</f>
        <v>Salve Grenade</v>
      </c>
      <c r="B1357" s="2" t="str">
        <f>IFERROR(__xludf.DUMMYFUNCTION("""COMPUTED_VALUE"""),"Heals 2500 Hp")</f>
        <v>Heals 2500 Hp</v>
      </c>
      <c r="C1357" s="2" t="str">
        <f>IFERROR(__xludf.DUMMYFUNCTION("""COMPUTED_VALUE"""),"Grenade")</f>
        <v>Grenade</v>
      </c>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2" t="str">
        <f>IFERROR(__xludf.DUMMYFUNCTION("""COMPUTED_VALUE"""),"Potion of Banishment")</f>
        <v>Potion of Banishment</v>
      </c>
      <c r="B1358" s="2" t="str">
        <f>IFERROR(__xludf.DUMMYFUNCTION("""COMPUTED_VALUE"""),"Banishes an enemy")</f>
        <v>Banishes an enemy</v>
      </c>
      <c r="C1358" s="2" t="str">
        <f>IFERROR(__xludf.DUMMYFUNCTION("""COMPUTED_VALUE"""),"Item")</f>
        <v>Item</v>
      </c>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2" t="str">
        <f>IFERROR(__xludf.DUMMYFUNCTION("""COMPUTED_VALUE"""),"Wooden Arrow")</f>
        <v>Wooden Arrow</v>
      </c>
      <c r="B1359" s="2" t="str">
        <f>IFERROR(__xludf.DUMMYFUNCTION("""COMPUTED_VALUE"""),"Bow Ammunition +50 Damage. roll a d20 to see how many you get if this is a loot drop.")</f>
        <v>Bow Ammunition +50 Damage. roll a d20 to see how many you get if this is a loot drop.</v>
      </c>
      <c r="C1359" s="2" t="str">
        <f>IFERROR(__xludf.DUMMYFUNCTION("""COMPUTED_VALUE"""),"Item")</f>
        <v>Item</v>
      </c>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2" t="str">
        <f>IFERROR(__xludf.DUMMYFUNCTION("""COMPUTED_VALUE"""),"Bone Tipped Arrow")</f>
        <v>Bone Tipped Arrow</v>
      </c>
      <c r="B1360" s="2" t="str">
        <f>IFERROR(__xludf.DUMMYFUNCTION("""COMPUTED_VALUE"""),"Bow Ammunition +250 Blood damage. roll a d20 to see how many you get if this is a loot drop")</f>
        <v>Bow Ammunition +250 Blood damage. roll a d20 to see how many you get if this is a loot drop</v>
      </c>
      <c r="C1360" s="2" t="str">
        <f>IFERROR(__xludf.DUMMYFUNCTION("""COMPUTED_VALUE"""),"Item")</f>
        <v>Item</v>
      </c>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2" t="str">
        <f>IFERROR(__xludf.DUMMYFUNCTION("""COMPUTED_VALUE"""),"Holy Arrow")</f>
        <v>Holy Arrow</v>
      </c>
      <c r="B1361" s="2" t="str">
        <f>IFERROR(__xludf.DUMMYFUNCTION("""COMPUTED_VALUE"""),"Bow Ammunition +250 light damage +20x damage against undead.roll a d20 to see how many you get if this is a loot drop")</f>
        <v>Bow Ammunition +250 light damage +20x damage against undead.roll a d20 to see how many you get if this is a loot drop</v>
      </c>
      <c r="C1361" s="2" t="str">
        <f>IFERROR(__xludf.DUMMYFUNCTION("""COMPUTED_VALUE"""),"Item")</f>
        <v>Item</v>
      </c>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2" t="str">
        <f>IFERROR(__xludf.DUMMYFUNCTION("""COMPUTED_VALUE"""),"Small Bang")</f>
        <v>Small Bang</v>
      </c>
      <c r="B1362" s="2" t="str">
        <f>IFERROR(__xludf.DUMMYFUNCTION("""COMPUTED_VALUE"""),"500,000 Damage")</f>
        <v>500,000 Damage</v>
      </c>
      <c r="C1362" s="2" t="str">
        <f>IFERROR(__xludf.DUMMYFUNCTION("""COMPUTED_VALUE"""),"Grenade")</f>
        <v>Grenade</v>
      </c>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2" t="str">
        <f>IFERROR(__xludf.DUMMYFUNCTION("""COMPUTED_VALUE"""),"Dragon Burst")</f>
        <v>Dragon Burst</v>
      </c>
      <c r="B1363" s="2" t="str">
        <f>IFERROR(__xludf.DUMMYFUNCTION("""COMPUTED_VALUE"""),"250,000 Damage")</f>
        <v>250,000 Damage</v>
      </c>
      <c r="C1363" s="2" t="str">
        <f>IFERROR(__xludf.DUMMYFUNCTION("""COMPUTED_VALUE"""),"Grenade")</f>
        <v>Grenade</v>
      </c>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2" t="str">
        <f>IFERROR(__xludf.DUMMYFUNCTION("""COMPUTED_VALUE"""),"Iguanian Assassin's Box")</f>
        <v>Iguanian Assassin's Box</v>
      </c>
      <c r="B1364" s="2" t="str">
        <f>IFERROR(__xludf.DUMMYFUNCTION("""COMPUTED_VALUE"""),"Grants a random piece of Iguanian Assassin's equipment (Roll 1d7 and take the corresponding item from the equipment finder)")</f>
        <v>Grants a random piece of Iguanian Assassin's equipment (Roll 1d7 and take the corresponding item from the equipment finder)</v>
      </c>
      <c r="C1364" s="2" t="str">
        <f>IFERROR(__xludf.DUMMYFUNCTION("""COMPUTED_VALUE"""),"Item")</f>
        <v>Item</v>
      </c>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2" t="str">
        <f>IFERROR(__xludf.DUMMYFUNCTION("""COMPUTED_VALUE"""),"Lizardfolk Warrior's Box")</f>
        <v>Lizardfolk Warrior's Box</v>
      </c>
      <c r="B1365" s="2" t="str">
        <f>IFERROR(__xludf.DUMMYFUNCTION("""COMPUTED_VALUE"""),"Grants a random piece of Lizard Warrior's equipment (Roll 1d9 and take the corresponding item from the equipment finder)")</f>
        <v>Grants a random piece of Lizard Warrior's equipment (Roll 1d9 and take the corresponding item from the equipment finder)</v>
      </c>
      <c r="C1365" s="2" t="str">
        <f>IFERROR(__xludf.DUMMYFUNCTION("""COMPUTED_VALUE"""),"Item")</f>
        <v>Item</v>
      </c>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2" t="str">
        <f>IFERROR(__xludf.DUMMYFUNCTION("""COMPUTED_VALUE"""),"Lizard Thief's Box")</f>
        <v>Lizard Thief's Box</v>
      </c>
      <c r="B1366" s="2" t="str">
        <f>IFERROR(__xludf.DUMMYFUNCTION("""COMPUTED_VALUE"""),"Grants a random piece of Lizard Thief's equipment (Roll 1d5 and take the corresponding item from the equipment finder)")</f>
        <v>Grants a random piece of Lizard Thief's equipment (Roll 1d5 and take the corresponding item from the equipment finder)</v>
      </c>
      <c r="C1366" s="2" t="str">
        <f>IFERROR(__xludf.DUMMYFUNCTION("""COMPUTED_VALUE"""),"Item")</f>
        <v>Item</v>
      </c>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2" t="str">
        <f>IFERROR(__xludf.DUMMYFUNCTION("""COMPUTED_VALUE"""),"Lizard Wizard's Box")</f>
        <v>Lizard Wizard's Box</v>
      </c>
      <c r="B1367" s="2" t="str">
        <f>IFERROR(__xludf.DUMMYFUNCTION("""COMPUTED_VALUE"""),"Grants a random piece of Lizard Wizard's equipment (Roll 1d6 and take the corresponding item from the equipment finder)")</f>
        <v>Grants a random piece of Lizard Wizard's equipment (Roll 1d6 and take the corresponding item from the equipment finder)</v>
      </c>
      <c r="C1367" s="2" t="str">
        <f>IFERROR(__xludf.DUMMYFUNCTION("""COMPUTED_VALUE"""),"Item")</f>
        <v>Item</v>
      </c>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2" t="str">
        <f>IFERROR(__xludf.DUMMYFUNCTION("""COMPUTED_VALUE"""),"Iguanian Brawler's Box")</f>
        <v>Iguanian Brawler's Box</v>
      </c>
      <c r="B1368" s="2" t="str">
        <f>IFERROR(__xludf.DUMMYFUNCTION("""COMPUTED_VALUE"""),"Grants a random piece of Iguanian Brawler's equipment (Roll 1d8 and take the corresponding item from the equipment finder)")</f>
        <v>Grants a random piece of Iguanian Brawler's equipment (Roll 1d8 and take the corresponding item from the equipment finder)</v>
      </c>
      <c r="C1368" s="2" t="str">
        <f>IFERROR(__xludf.DUMMYFUNCTION("""COMPUTED_VALUE"""),"Item")</f>
        <v>Item</v>
      </c>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2" t="str">
        <f>IFERROR(__xludf.DUMMYFUNCTION("""COMPUTED_VALUE"""),"Iguanian Mage's Box")</f>
        <v>Iguanian Mage's Box</v>
      </c>
      <c r="B1369" s="2" t="str">
        <f>IFERROR(__xludf.DUMMYFUNCTION("""COMPUTED_VALUE"""),"Grants a random piece of Iguanian Mage equipment (Roll 1d5 and take the corresponding item from the equipment finder)")</f>
        <v>Grants a random piece of Iguanian Mage equipment (Roll 1d5 and take the corresponding item from the equipment finder)</v>
      </c>
      <c r="C1369" s="2" t="str">
        <f>IFERROR(__xludf.DUMMYFUNCTION("""COMPUTED_VALUE"""),"Item")</f>
        <v>Item</v>
      </c>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tr">
        <f>IFERROR(__xludf.DUMMYFUNCTION("IMPORTRANGE(""https://docs.google.com/spreadsheets/d/1HXoAI5UG3zq1UHqU5n7fPdbQk93qOha2VQb1r7iRi1o"",""MoneyRates!A:AE"")"),"Gilder")</f>
        <v>Gilder</v>
      </c>
      <c r="B1" s="2">
        <f>IFERROR(__xludf.DUMMYFUNCTION("""COMPUTED_VALUE"""),1.0)</f>
        <v>1</v>
      </c>
      <c r="C1" s="2"/>
      <c r="D1" s="2"/>
      <c r="E1" s="2"/>
      <c r="F1" s="2"/>
      <c r="G1" s="2"/>
      <c r="H1" s="2"/>
      <c r="I1" s="2"/>
      <c r="J1" s="2"/>
      <c r="K1" s="2"/>
      <c r="L1" s="2"/>
      <c r="M1" s="2"/>
      <c r="N1" s="2"/>
      <c r="O1" s="2"/>
      <c r="P1" s="2"/>
      <c r="Q1" s="2"/>
      <c r="R1" s="2"/>
      <c r="S1" s="2"/>
      <c r="T1" s="2"/>
      <c r="U1" s="2"/>
      <c r="V1" s="2"/>
      <c r="W1" s="2"/>
      <c r="X1" s="2"/>
      <c r="Y1" s="2"/>
      <c r="Z1" s="2"/>
    </row>
    <row r="2">
      <c r="A2" s="2" t="str">
        <f>IFERROR(__xludf.DUMMYFUNCTION("""COMPUTED_VALUE"""),"SeaCoin")</f>
        <v>SeaCoin</v>
      </c>
      <c r="B2" s="2">
        <f>IFERROR(__xludf.DUMMYFUNCTION("""COMPUTED_VALUE"""),1.0)</f>
        <v>1</v>
      </c>
      <c r="C2" s="2"/>
      <c r="D2" s="2"/>
      <c r="E2" s="2"/>
      <c r="F2" s="2"/>
      <c r="G2" s="2"/>
      <c r="H2" s="2"/>
      <c r="I2" s="2"/>
      <c r="J2" s="2"/>
      <c r="K2" s="2"/>
      <c r="L2" s="2"/>
      <c r="M2" s="2"/>
      <c r="N2" s="2"/>
      <c r="O2" s="2"/>
      <c r="P2" s="2"/>
      <c r="Q2" s="2"/>
      <c r="R2" s="2"/>
      <c r="S2" s="2"/>
      <c r="T2" s="2"/>
      <c r="U2" s="2"/>
      <c r="V2" s="2"/>
      <c r="W2" s="2"/>
      <c r="X2" s="2"/>
      <c r="Y2" s="2"/>
      <c r="Z2" s="2"/>
    </row>
    <row r="3">
      <c r="A3" s="2" t="str">
        <f>IFERROR(__xludf.DUMMYFUNCTION("""COMPUTED_VALUE"""),"Crystal")</f>
        <v>Crystal</v>
      </c>
      <c r="B3" s="2">
        <f>IFERROR(__xludf.DUMMYFUNCTION("""COMPUTED_VALUE"""),1.0)</f>
        <v>1</v>
      </c>
      <c r="C3" s="2"/>
      <c r="D3" s="2"/>
      <c r="E3" s="2"/>
      <c r="F3" s="2"/>
      <c r="G3" s="2"/>
      <c r="H3" s="2"/>
      <c r="I3" s="2"/>
      <c r="J3" s="2"/>
      <c r="K3" s="2"/>
      <c r="L3" s="2"/>
      <c r="M3" s="2"/>
      <c r="N3" s="2"/>
      <c r="O3" s="2"/>
      <c r="P3" s="2"/>
      <c r="Q3" s="2"/>
      <c r="R3" s="2"/>
      <c r="S3" s="2"/>
      <c r="T3" s="2"/>
      <c r="U3" s="2"/>
      <c r="V3" s="2"/>
      <c r="W3" s="2"/>
      <c r="X3" s="2"/>
      <c r="Y3" s="2"/>
      <c r="Z3" s="2"/>
    </row>
    <row r="4">
      <c r="A4" s="2" t="str">
        <f>IFERROR(__xludf.DUMMYFUNCTION("""COMPUTED_VALUE"""),"Frost")</f>
        <v>Frost</v>
      </c>
      <c r="B4" s="2">
        <f>IFERROR(__xludf.DUMMYFUNCTION("""COMPUTED_VALUE"""),1.0)</f>
        <v>1</v>
      </c>
      <c r="C4" s="2"/>
      <c r="D4" s="2"/>
      <c r="E4" s="2"/>
      <c r="F4" s="2"/>
      <c r="G4" s="2"/>
      <c r="H4" s="2"/>
      <c r="I4" s="2"/>
      <c r="J4" s="2"/>
      <c r="K4" s="2"/>
      <c r="L4" s="2"/>
      <c r="M4" s="2"/>
      <c r="N4" s="2"/>
      <c r="O4" s="2"/>
      <c r="P4" s="2"/>
      <c r="Q4" s="2"/>
      <c r="R4" s="2"/>
      <c r="S4" s="2"/>
      <c r="T4" s="2"/>
      <c r="U4" s="2"/>
      <c r="V4" s="2"/>
      <c r="W4" s="2"/>
      <c r="X4" s="2"/>
      <c r="Y4" s="2"/>
      <c r="Z4" s="2"/>
    </row>
    <row r="5">
      <c r="A5" s="2" t="str">
        <f>IFERROR(__xludf.DUMMYFUNCTION("""COMPUTED_VALUE"""),"UndeadCoin")</f>
        <v>UndeadCoin</v>
      </c>
      <c r="B5" s="2">
        <f>IFERROR(__xludf.DUMMYFUNCTION("""COMPUTED_VALUE"""),1.0)</f>
        <v>1</v>
      </c>
      <c r="C5" s="2"/>
      <c r="D5" s="2"/>
      <c r="E5" s="2"/>
      <c r="F5" s="2"/>
      <c r="G5" s="2"/>
      <c r="H5" s="2"/>
      <c r="I5" s="2"/>
      <c r="J5" s="2"/>
      <c r="K5" s="2"/>
      <c r="L5" s="2"/>
      <c r="M5" s="2"/>
      <c r="N5" s="2"/>
      <c r="O5" s="2"/>
      <c r="P5" s="2"/>
      <c r="Q5" s="2"/>
      <c r="R5" s="2"/>
      <c r="S5" s="2"/>
      <c r="T5" s="2"/>
      <c r="U5" s="2"/>
      <c r="V5" s="2"/>
      <c r="W5" s="2"/>
      <c r="X5" s="2"/>
      <c r="Y5" s="2"/>
      <c r="Z5" s="2"/>
    </row>
    <row r="6">
      <c r="A6" s="2" t="str">
        <f>IFERROR(__xludf.DUMMYFUNCTION("""COMPUTED_VALUE"""),"Halloween")</f>
        <v>Halloween</v>
      </c>
      <c r="B6" s="2">
        <f>IFERROR(__xludf.DUMMYFUNCTION("""COMPUTED_VALUE"""),1.0)</f>
        <v>1</v>
      </c>
      <c r="C6" s="2"/>
      <c r="D6" s="2"/>
      <c r="E6" s="2"/>
      <c r="F6" s="2"/>
      <c r="G6" s="2"/>
      <c r="H6" s="2"/>
      <c r="I6" s="2"/>
      <c r="J6" s="2"/>
      <c r="K6" s="2"/>
      <c r="L6" s="2"/>
      <c r="M6" s="2"/>
      <c r="N6" s="2"/>
      <c r="O6" s="2"/>
      <c r="P6" s="2"/>
      <c r="Q6" s="2"/>
      <c r="R6" s="2"/>
      <c r="S6" s="2"/>
      <c r="T6" s="2"/>
      <c r="U6" s="2"/>
      <c r="V6" s="2"/>
      <c r="W6" s="2"/>
      <c r="X6" s="2"/>
      <c r="Y6" s="2"/>
      <c r="Z6" s="2"/>
    </row>
    <row r="7">
      <c r="A7" s="2" t="str">
        <f>IFERROR(__xludf.DUMMYFUNCTION("""COMPUTED_VALUE"""),"Soul")</f>
        <v>Soul</v>
      </c>
      <c r="B7" s="2">
        <f>IFERROR(__xludf.DUMMYFUNCTION("""COMPUTED_VALUE"""),1.0)</f>
        <v>1</v>
      </c>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tr">
        <f>IFERROR(__xludf.DUMMYFUNCTION("IMPORTRANGE(""https://docs.google.com/spreadsheets/d/1HXoAI5UG3zq1UHqU5n7fPdbQk93qOha2VQb1r7iRi1o"",""Worlds!A:AH"")"),"Name")</f>
        <v>Name</v>
      </c>
      <c r="B1" s="2"/>
      <c r="C1" s="2"/>
      <c r="D1" s="2"/>
      <c r="E1" s="2"/>
      <c r="F1" s="2"/>
      <c r="G1" s="2"/>
      <c r="H1" s="2"/>
      <c r="I1" s="2"/>
      <c r="J1" s="2"/>
      <c r="K1" s="2"/>
      <c r="L1" s="2"/>
      <c r="M1" s="2"/>
      <c r="N1" s="2"/>
      <c r="O1" s="2"/>
      <c r="P1" s="2"/>
      <c r="Q1" s="2"/>
      <c r="R1" s="2"/>
      <c r="S1" s="2"/>
      <c r="T1" s="2"/>
      <c r="U1" s="2"/>
      <c r="V1" s="2"/>
      <c r="W1" s="2"/>
      <c r="X1" s="2"/>
      <c r="Y1" s="2"/>
      <c r="Z1" s="2"/>
    </row>
    <row r="2">
      <c r="A2" s="2" t="str">
        <f>IFERROR(__xludf.DUMMYFUNCTION("""COMPUTED_VALUE"""),"Land of Spira")</f>
        <v>Land of Spira</v>
      </c>
      <c r="B2" s="2"/>
      <c r="C2" s="2"/>
      <c r="D2" s="2"/>
      <c r="E2" s="2"/>
      <c r="F2" s="2"/>
      <c r="G2" s="2"/>
      <c r="H2" s="2"/>
      <c r="I2" s="2"/>
      <c r="J2" s="2"/>
      <c r="K2" s="2"/>
      <c r="L2" s="2"/>
      <c r="M2" s="2"/>
      <c r="N2" s="2"/>
      <c r="O2" s="2"/>
      <c r="P2" s="2"/>
      <c r="Q2" s="2"/>
      <c r="R2" s="2"/>
      <c r="S2" s="2"/>
      <c r="T2" s="2"/>
      <c r="U2" s="2"/>
      <c r="V2" s="2"/>
      <c r="W2" s="2"/>
      <c r="X2" s="2"/>
      <c r="Y2" s="2"/>
      <c r="Z2" s="2"/>
    </row>
    <row r="3">
      <c r="A3" s="2" t="str">
        <f>IFERROR(__xludf.DUMMYFUNCTION("""COMPUTED_VALUE"""),"Abstara")</f>
        <v>Abstara</v>
      </c>
      <c r="B3" s="2"/>
      <c r="C3" s="2"/>
      <c r="D3" s="2"/>
      <c r="E3" s="2"/>
      <c r="F3" s="2"/>
      <c r="G3" s="2"/>
      <c r="H3" s="2"/>
      <c r="I3" s="2"/>
      <c r="J3" s="2"/>
      <c r="K3" s="2"/>
      <c r="L3" s="2"/>
      <c r="M3" s="2"/>
      <c r="N3" s="2"/>
      <c r="O3" s="2"/>
      <c r="P3" s="2"/>
      <c r="Q3" s="2"/>
      <c r="R3" s="2"/>
      <c r="S3" s="2"/>
      <c r="T3" s="2"/>
      <c r="U3" s="2"/>
      <c r="V3" s="2"/>
      <c r="W3" s="2"/>
      <c r="X3" s="2"/>
      <c r="Y3" s="2"/>
      <c r="Z3" s="2"/>
    </row>
    <row r="4">
      <c r="A4" s="2" t="str">
        <f>IFERROR(__xludf.DUMMYFUNCTION("""COMPUTED_VALUE"""),"Solreach")</f>
        <v>Solreach</v>
      </c>
      <c r="B4" s="2"/>
      <c r="C4" s="2"/>
      <c r="D4" s="2"/>
      <c r="E4" s="2"/>
      <c r="F4" s="2"/>
      <c r="G4" s="2"/>
      <c r="H4" s="2"/>
      <c r="I4" s="2"/>
      <c r="J4" s="2"/>
      <c r="K4" s="2"/>
      <c r="L4" s="2"/>
      <c r="M4" s="2"/>
      <c r="N4" s="2"/>
      <c r="O4" s="2"/>
      <c r="P4" s="2"/>
      <c r="Q4" s="2"/>
      <c r="R4" s="2"/>
      <c r="S4" s="2"/>
      <c r="T4" s="2"/>
      <c r="U4" s="2"/>
      <c r="V4" s="2"/>
      <c r="W4" s="2"/>
      <c r="X4" s="2"/>
      <c r="Y4" s="2"/>
      <c r="Z4" s="2"/>
    </row>
    <row r="5">
      <c r="A5" s="2" t="str">
        <f>IFERROR(__xludf.DUMMYFUNCTION("""COMPUTED_VALUE"""),"Halloween Kingdom")</f>
        <v>Halloween Kingdom</v>
      </c>
      <c r="B5" s="2"/>
      <c r="C5" s="2"/>
      <c r="D5" s="2"/>
      <c r="E5" s="2"/>
      <c r="F5" s="2"/>
      <c r="G5" s="2"/>
      <c r="H5" s="2"/>
      <c r="I5" s="2"/>
      <c r="J5" s="2"/>
      <c r="K5" s="2"/>
      <c r="L5" s="2"/>
      <c r="M5" s="2"/>
      <c r="N5" s="2"/>
      <c r="O5" s="2"/>
      <c r="P5" s="2"/>
      <c r="Q5" s="2"/>
      <c r="R5" s="2"/>
      <c r="S5" s="2"/>
      <c r="T5" s="2"/>
      <c r="U5" s="2"/>
      <c r="V5" s="2"/>
      <c r="W5" s="2"/>
      <c r="X5" s="2"/>
      <c r="Y5" s="2"/>
      <c r="Z5" s="2"/>
    </row>
    <row r="6">
      <c r="A6" s="2" t="str">
        <f>IFERROR(__xludf.DUMMYFUNCTION("""COMPUTED_VALUE"""),"Land of The Forgotten")</f>
        <v>Land of The Forgotten</v>
      </c>
      <c r="B6" s="2"/>
      <c r="C6" s="2"/>
      <c r="D6" s="2"/>
      <c r="E6" s="2"/>
      <c r="F6" s="2"/>
      <c r="G6" s="2"/>
      <c r="H6" s="2"/>
      <c r="I6" s="2"/>
      <c r="J6" s="2"/>
      <c r="K6" s="2"/>
      <c r="L6" s="2"/>
      <c r="M6" s="2"/>
      <c r="N6" s="2"/>
      <c r="O6" s="2"/>
      <c r="P6" s="2"/>
      <c r="Q6" s="2"/>
      <c r="R6" s="2"/>
      <c r="S6" s="2"/>
      <c r="T6" s="2"/>
      <c r="U6" s="2"/>
      <c r="V6" s="2"/>
      <c r="W6" s="2"/>
      <c r="X6" s="2"/>
      <c r="Y6" s="2"/>
      <c r="Z6" s="2"/>
    </row>
    <row r="7">
      <c r="A7" s="2" t="str">
        <f>IFERROR(__xludf.DUMMYFUNCTION("""COMPUTED_VALUE"""),"Dragonscale Island")</f>
        <v>Dragonscale Island</v>
      </c>
      <c r="B7" s="2"/>
      <c r="C7" s="2"/>
      <c r="D7" s="2"/>
      <c r="E7" s="2"/>
      <c r="F7" s="2"/>
      <c r="G7" s="2"/>
      <c r="H7" s="2"/>
      <c r="I7" s="2"/>
      <c r="J7" s="2"/>
      <c r="K7" s="2"/>
      <c r="L7" s="2"/>
      <c r="M7" s="2"/>
      <c r="N7" s="2"/>
      <c r="O7" s="2"/>
      <c r="P7" s="2"/>
      <c r="Q7" s="2"/>
      <c r="R7" s="2"/>
      <c r="S7" s="2"/>
      <c r="T7" s="2"/>
      <c r="U7" s="2"/>
      <c r="V7" s="2"/>
      <c r="W7" s="2"/>
      <c r="X7" s="2"/>
      <c r="Y7" s="2"/>
      <c r="Z7" s="2"/>
    </row>
    <row r="8">
      <c r="A8" s="2" t="str">
        <f>IFERROR(__xludf.DUMMYFUNCTION("""COMPUTED_VALUE"""),"Event Hub")</f>
        <v>Event Hub</v>
      </c>
      <c r="B8" s="2"/>
      <c r="C8" s="2"/>
      <c r="D8" s="2"/>
      <c r="E8" s="2"/>
      <c r="F8" s="2"/>
      <c r="G8" s="2"/>
      <c r="H8" s="2"/>
      <c r="I8" s="2"/>
      <c r="J8" s="2"/>
      <c r="K8" s="2"/>
      <c r="L8" s="2"/>
      <c r="M8" s="2"/>
      <c r="N8" s="2"/>
      <c r="O8" s="2"/>
      <c r="P8" s="2"/>
      <c r="Q8" s="2"/>
      <c r="R8" s="2"/>
      <c r="S8" s="2"/>
      <c r="T8" s="2"/>
      <c r="U8" s="2"/>
      <c r="V8" s="2"/>
      <c r="W8" s="2"/>
      <c r="X8" s="2"/>
      <c r="Y8" s="2"/>
      <c r="Z8" s="2"/>
    </row>
    <row r="9">
      <c r="A9" s="2" t="str">
        <f>IFERROR(__xludf.DUMMYFUNCTION("""COMPUTED_VALUE"""),"Tantalus - The Void")</f>
        <v>Tantalus - The Void</v>
      </c>
      <c r="B9" s="2"/>
      <c r="C9" s="2"/>
      <c r="D9" s="2"/>
      <c r="E9" s="2"/>
      <c r="F9" s="2"/>
      <c r="G9" s="2"/>
      <c r="H9" s="2"/>
      <c r="I9" s="2"/>
      <c r="J9" s="2"/>
      <c r="K9" s="2"/>
      <c r="L9" s="2"/>
      <c r="M9" s="2"/>
      <c r="N9" s="2"/>
      <c r="O9" s="2"/>
      <c r="P9" s="2"/>
      <c r="Q9" s="2"/>
      <c r="R9" s="2"/>
      <c r="S9" s="2"/>
      <c r="T9" s="2"/>
      <c r="U9" s="2"/>
      <c r="V9" s="2"/>
      <c r="W9" s="2"/>
      <c r="X9" s="2"/>
      <c r="Y9" s="2"/>
      <c r="Z9" s="2"/>
    </row>
    <row r="10">
      <c r="A10" s="2" t="str">
        <f>IFERROR(__xludf.DUMMYFUNCTION("""COMPUTED_VALUE"""),"Tantalus - Muspelheim")</f>
        <v>Tantalus - Muspelheim</v>
      </c>
      <c r="B10" s="2"/>
      <c r="C10" s="2"/>
      <c r="D10" s="2"/>
      <c r="E10" s="2"/>
      <c r="F10" s="2"/>
      <c r="G10" s="2"/>
      <c r="H10" s="2"/>
      <c r="I10" s="2"/>
      <c r="J10" s="2"/>
      <c r="K10" s="2"/>
      <c r="L10" s="2"/>
      <c r="M10" s="2"/>
      <c r="N10" s="2"/>
      <c r="O10" s="2"/>
      <c r="P10" s="2"/>
      <c r="Q10" s="2"/>
      <c r="R10" s="2"/>
      <c r="S10" s="2"/>
      <c r="T10" s="2"/>
      <c r="U10" s="2"/>
      <c r="V10" s="2"/>
      <c r="W10" s="2"/>
      <c r="X10" s="2"/>
      <c r="Y10" s="2"/>
      <c r="Z10" s="2"/>
    </row>
    <row r="11">
      <c r="A11" s="2" t="str">
        <f>IFERROR(__xludf.DUMMYFUNCTION("""COMPUTED_VALUE"""),"Hestheimer")</f>
        <v>Hestheimer</v>
      </c>
      <c r="B11" s="2"/>
      <c r="C11" s="2"/>
      <c r="D11" s="2"/>
      <c r="E11" s="2"/>
      <c r="F11" s="2"/>
      <c r="G11" s="2"/>
      <c r="H11" s="2"/>
      <c r="I11" s="2"/>
      <c r="J11" s="2"/>
      <c r="K11" s="2"/>
      <c r="L11" s="2"/>
      <c r="M11" s="2"/>
      <c r="N11" s="2"/>
      <c r="O11" s="2"/>
      <c r="P11" s="2"/>
      <c r="Q11" s="2"/>
      <c r="R11" s="2"/>
      <c r="S11" s="2"/>
      <c r="T11" s="2"/>
      <c r="U11" s="2"/>
      <c r="V11" s="2"/>
      <c r="W11" s="2"/>
      <c r="X11" s="2"/>
      <c r="Y11" s="2"/>
      <c r="Z11" s="2"/>
    </row>
    <row r="12">
      <c r="A12" s="2" t="str">
        <f>IFERROR(__xludf.DUMMYFUNCTION("""COMPUTED_VALUE"""),"Mekaheim")</f>
        <v>Mekaheim</v>
      </c>
      <c r="B12" s="2"/>
      <c r="C12" s="2"/>
      <c r="D12" s="2"/>
      <c r="E12" s="2"/>
      <c r="F12" s="2"/>
      <c r="G12" s="2"/>
      <c r="H12" s="2"/>
      <c r="I12" s="2"/>
      <c r="J12" s="2"/>
      <c r="K12" s="2"/>
      <c r="L12" s="2"/>
      <c r="M12" s="2"/>
      <c r="N12" s="2"/>
      <c r="O12" s="2"/>
      <c r="P12" s="2"/>
      <c r="Q12" s="2"/>
      <c r="R12" s="2"/>
      <c r="S12" s="2"/>
      <c r="T12" s="2"/>
      <c r="U12" s="2"/>
      <c r="V12" s="2"/>
      <c r="W12" s="2"/>
      <c r="X12" s="2"/>
      <c r="Y12" s="2"/>
      <c r="Z12" s="2"/>
    </row>
    <row r="13">
      <c r="A13" s="2" t="str">
        <f>IFERROR(__xludf.DUMMYFUNCTION("""COMPUTED_VALUE"""),"Celeste")</f>
        <v>Celeste</v>
      </c>
      <c r="B13" s="2"/>
      <c r="C13" s="2"/>
      <c r="D13" s="2"/>
      <c r="E13" s="2"/>
      <c r="F13" s="2"/>
      <c r="G13" s="2"/>
      <c r="H13" s="2"/>
      <c r="I13" s="2"/>
      <c r="J13" s="2"/>
      <c r="K13" s="2"/>
      <c r="L13" s="2"/>
      <c r="M13" s="2"/>
      <c r="N13" s="2"/>
      <c r="O13" s="2"/>
      <c r="P13" s="2"/>
      <c r="Q13" s="2"/>
      <c r="R13" s="2"/>
      <c r="S13" s="2"/>
      <c r="T13" s="2"/>
      <c r="U13" s="2"/>
      <c r="V13" s="2"/>
      <c r="W13" s="2"/>
      <c r="X13" s="2"/>
      <c r="Y13" s="2"/>
      <c r="Z13" s="2"/>
    </row>
    <row r="14">
      <c r="A14" s="2" t="str">
        <f>IFERROR(__xludf.DUMMYFUNCTION("""COMPUTED_VALUE"""),"Lostheimer")</f>
        <v>Lostheimer</v>
      </c>
      <c r="B14" s="2"/>
      <c r="C14" s="2"/>
      <c r="D14" s="2"/>
      <c r="E14" s="2"/>
      <c r="F14" s="2"/>
      <c r="G14" s="2"/>
      <c r="H14" s="2"/>
      <c r="I14" s="2"/>
      <c r="J14" s="2"/>
      <c r="K14" s="2"/>
      <c r="L14" s="2"/>
      <c r="M14" s="2"/>
      <c r="N14" s="2"/>
      <c r="O14" s="2"/>
      <c r="P14" s="2"/>
      <c r="Q14" s="2"/>
      <c r="R14" s="2"/>
      <c r="S14" s="2"/>
      <c r="T14" s="2"/>
      <c r="U14" s="2"/>
      <c r="V14" s="2"/>
      <c r="W14" s="2"/>
      <c r="X14" s="2"/>
      <c r="Y14" s="2"/>
      <c r="Z14" s="2"/>
    </row>
    <row r="15">
      <c r="A15" s="2" t="str">
        <f>IFERROR(__xludf.DUMMYFUNCTION("""COMPUTED_VALUE"""),"Jutulheim")</f>
        <v>Jutulheim</v>
      </c>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tr">
        <f>IFERROR(__xludf.DUMMYFUNCTION("QUERY(Towns!$A$2:$F1000,""Select A where C contains '""&amp;ShopFront!$B$6&amp;""' AND A IS NOT NULL"")"),"Chaotic Seas")</f>
        <v>Chaotic Seas</v>
      </c>
    </row>
    <row r="2">
      <c r="A2" s="2" t="str">
        <f>IFERROR(__xludf.DUMMYFUNCTION("""COMPUTED_VALUE"""),"Civille")</f>
        <v>Civille</v>
      </c>
    </row>
    <row r="3">
      <c r="A3" s="2" t="str">
        <f>IFERROR(__xludf.DUMMYFUNCTION("""COMPUTED_VALUE"""),"Crystal Cave")</f>
        <v>Crystal Cave</v>
      </c>
    </row>
    <row r="4">
      <c r="A4" s="2" t="str">
        <f>IFERROR(__xludf.DUMMYFUNCTION("""COMPUTED_VALUE"""),"Cursed Iceland")</f>
        <v>Cursed Iceland</v>
      </c>
    </row>
    <row r="5">
      <c r="A5" s="2" t="str">
        <f>IFERROR(__xludf.DUMMYFUNCTION("""COMPUTED_VALUE"""),"Dead Forest")</f>
        <v>Dead Forest</v>
      </c>
    </row>
    <row r="6">
      <c r="A6" s="2" t="str">
        <f>IFERROR(__xludf.DUMMYFUNCTION("""COMPUTED_VALUE"""),"Desert island")</f>
        <v>Desert island</v>
      </c>
    </row>
    <row r="7">
      <c r="A7" s="2" t="str">
        <f>IFERROR(__xludf.DUMMYFUNCTION("""COMPUTED_VALUE"""),"Docile Plains")</f>
        <v>Docile Plains</v>
      </c>
    </row>
    <row r="8">
      <c r="A8" s="2" t="str">
        <f>IFERROR(__xludf.DUMMYFUNCTION("""COMPUTED_VALUE"""),"Dryland Desert")</f>
        <v>Dryland Desert</v>
      </c>
    </row>
    <row r="9">
      <c r="A9" s="2" t="str">
        <f>IFERROR(__xludf.DUMMYFUNCTION("""COMPUTED_VALUE"""),"Dryland Mesa")</f>
        <v>Dryland Mesa</v>
      </c>
    </row>
    <row r="10">
      <c r="A10" s="2" t="str">
        <f>IFERROR(__xludf.DUMMYFUNCTION("""COMPUTED_VALUE"""),"Fertile Plains")</f>
        <v>Fertile Plains</v>
      </c>
    </row>
    <row r="11">
      <c r="A11" s="2" t="str">
        <f>IFERROR(__xludf.DUMMYFUNCTION("""COMPUTED_VALUE"""),"Fire Tiki Mountain")</f>
        <v>Fire Tiki Mountain</v>
      </c>
    </row>
    <row r="12">
      <c r="A12" s="2" t="str">
        <f>IFERROR(__xludf.DUMMYFUNCTION("""COMPUTED_VALUE"""),"Forest View")</f>
        <v>Forest View</v>
      </c>
    </row>
    <row r="13">
      <c r="A13" s="2" t="str">
        <f>IFERROR(__xludf.DUMMYFUNCTION("""COMPUTED_VALUE"""),"Foul Night Swamp")</f>
        <v>Foul Night Swamp</v>
      </c>
    </row>
    <row r="14">
      <c r="A14" s="2" t="str">
        <f>IFERROR(__xludf.DUMMYFUNCTION("""COMPUTED_VALUE"""),"Northern Frozen Terrain")</f>
        <v>Northern Frozen Terrain</v>
      </c>
    </row>
    <row r="15">
      <c r="A15" s="2" t="str">
        <f>IFERROR(__xludf.DUMMYFUNCTION("""COMPUTED_VALUE"""),"Eastern Frozen Terrain")</f>
        <v>Eastern Frozen Terrain</v>
      </c>
    </row>
    <row r="16">
      <c r="A16" s="2" t="str">
        <f>IFERROR(__xludf.DUMMYFUNCTION("""COMPUTED_VALUE"""),"Western Frozen Terrain")</f>
        <v>Western Frozen Terrain</v>
      </c>
    </row>
    <row r="17">
      <c r="A17" s="2" t="str">
        <f>IFERROR(__xludf.DUMMYFUNCTION("""COMPUTED_VALUE"""),"Frozen Forest (Southern Frozen Terrain)")</f>
        <v>Frozen Forest (Southern Frozen Terrain)</v>
      </c>
    </row>
    <row r="18">
      <c r="A18" s="2" t="str">
        <f>IFERROR(__xludf.DUMMYFUNCTION("""COMPUTED_VALUE"""),"Hallowtown ")</f>
        <v>Hallowtown </v>
      </c>
    </row>
    <row r="19">
      <c r="A19" s="2" t="str">
        <f>IFERROR(__xludf.DUMMYFUNCTION("""COMPUTED_VALUE"""),"Heatmore Jungle")</f>
        <v>Heatmore Jungle</v>
      </c>
    </row>
    <row r="20">
      <c r="A20" s="2" t="str">
        <f>IFERROR(__xludf.DUMMYFUNCTION("""COMPUTED_VALUE"""),"Jungle Of Miss Direction")</f>
        <v>Jungle Of Miss Direction</v>
      </c>
    </row>
    <row r="21">
      <c r="A21" s="2" t="str">
        <f>IFERROR(__xludf.DUMMYFUNCTION("""COMPUTED_VALUE"""),"Jungle Of Shadows")</f>
        <v>Jungle Of Shadows</v>
      </c>
    </row>
    <row r="22">
      <c r="A22" s="2" t="str">
        <f>IFERROR(__xludf.DUMMYFUNCTION("""COMPUTED_VALUE"""),"Lake Town")</f>
        <v>Lake Town</v>
      </c>
    </row>
    <row r="23">
      <c r="A23" s="2" t="str">
        <f>IFERROR(__xludf.DUMMYFUNCTION("""COMPUTED_VALUE"""),"Mekana")</f>
        <v>Mekana</v>
      </c>
    </row>
    <row r="24">
      <c r="A24" s="2" t="str">
        <f>IFERROR(__xludf.DUMMYFUNCTION("""COMPUTED_VALUE"""),"Mountains Of Peace And Harmony")</f>
        <v>Mountains Of Peace And Harmony</v>
      </c>
    </row>
    <row r="25">
      <c r="A25" s="2" t="str">
        <f>IFERROR(__xludf.DUMMYFUNCTION("""COMPUTED_VALUE"""),"Mt. Fury (Locked)")</f>
        <v>Mt. Fury (Locked)</v>
      </c>
    </row>
    <row r="26">
      <c r="A26" s="2" t="str">
        <f>IFERROR(__xludf.DUMMYFUNCTION("""COMPUTED_VALUE"""),"Pond City")</f>
        <v>Pond City</v>
      </c>
    </row>
    <row r="27">
      <c r="A27" s="2" t="str">
        <f>IFERROR(__xludf.DUMMYFUNCTION("""COMPUTED_VALUE"""),"Port Fawn")</f>
        <v>Port Fawn</v>
      </c>
    </row>
    <row r="28">
      <c r="A28" s="2" t="str">
        <f>IFERROR(__xludf.DUMMYFUNCTION("""COMPUTED_VALUE"""),"Royal Woodlands")</f>
        <v>Royal Woodlands</v>
      </c>
    </row>
    <row r="29">
      <c r="A29" s="2" t="str">
        <f>IFERROR(__xludf.DUMMYFUNCTION("""COMPUTED_VALUE"""),"Ruins Of Mana")</f>
        <v>Ruins Of Mana</v>
      </c>
    </row>
    <row r="30">
      <c r="A30" s="2" t="str">
        <f>IFERROR(__xludf.DUMMYFUNCTION("""COMPUTED_VALUE"""),"Ship Graveyard")</f>
        <v>Ship Graveyard</v>
      </c>
    </row>
    <row r="31">
      <c r="A31" s="2" t="str">
        <f>IFERROR(__xludf.DUMMYFUNCTION("""COMPUTED_VALUE"""),"Silence Edge Point")</f>
        <v>Silence Edge Point</v>
      </c>
    </row>
    <row r="32">
      <c r="A32" s="2" t="str">
        <f>IFERROR(__xludf.DUMMYFUNCTION("""COMPUTED_VALUE"""),"Swampville")</f>
        <v>Swampville</v>
      </c>
    </row>
    <row r="33">
      <c r="A33" s="2" t="str">
        <f>IFERROR(__xludf.DUMMYFUNCTION("""COMPUTED_VALUE"""),"Temple Of Dawn")</f>
        <v>Temple Of Dawn</v>
      </c>
    </row>
    <row r="34">
      <c r="A34" s="2" t="str">
        <f>IFERROR(__xludf.DUMMYFUNCTION("""COMPUTED_VALUE"""),"Temple Of The Rising Sun")</f>
        <v>Temple Of The Rising Sun</v>
      </c>
    </row>
    <row r="35">
      <c r="A35" s="2" t="str">
        <f>IFERROR(__xludf.DUMMYFUNCTION("""COMPUTED_VALUE"""),"Temple Of The Rising Moon")</f>
        <v>Temple Of The Rising Moon</v>
      </c>
    </row>
    <row r="36">
      <c r="A36" s="2" t="str">
        <f>IFERROR(__xludf.DUMMYFUNCTION("""COMPUTED_VALUE"""),"Temple Of Dusk")</f>
        <v>Temple Of Dusk</v>
      </c>
    </row>
    <row r="37">
      <c r="A37" s="2" t="str">
        <f>IFERROR(__xludf.DUMMYFUNCTION("""COMPUTED_VALUE"""),"The Corrupt Forest")</f>
        <v>The Corrupt Forest</v>
      </c>
    </row>
    <row r="38">
      <c r="A38" s="2" t="str">
        <f>IFERROR(__xludf.DUMMYFUNCTION("""COMPUTED_VALUE"""),"The Hidden Forest Of Celeste")</f>
        <v>The Hidden Forest Of Celeste</v>
      </c>
    </row>
    <row r="39">
      <c r="A39" s="2" t="str">
        <f>IFERROR(__xludf.DUMMYFUNCTION("""COMPUTED_VALUE"""),"The Red Sands")</f>
        <v>The Red Sands</v>
      </c>
    </row>
    <row r="40">
      <c r="A40" s="2" t="str">
        <f>IFERROR(__xludf.DUMMYFUNCTION("""COMPUTED_VALUE"""),"The Submerged City Of Tritonoch")</f>
        <v>The Submerged City Of Tritonoch</v>
      </c>
    </row>
    <row r="41">
      <c r="A41" s="2" t="str">
        <f>IFERROR(__xludf.DUMMYFUNCTION("""COMPUTED_VALUE"""),"Tower Of Secret Mages")</f>
        <v>Tower Of Secret Mages</v>
      </c>
    </row>
    <row r="42">
      <c r="A42" s="2" t="str">
        <f>IFERROR(__xludf.DUMMYFUNCTION("""COMPUTED_VALUE"""),"WildWood")</f>
        <v>WildWood</v>
      </c>
    </row>
    <row r="43">
      <c r="A43" s="2" t="str">
        <f>IFERROR(__xludf.DUMMYFUNCTION("""COMPUTED_VALUE"""),"The World Tree of Spira")</f>
        <v>The World Tree of Spira</v>
      </c>
    </row>
    <row r="44">
      <c r="A44" s="2" t="str">
        <f>IFERROR(__xludf.DUMMYFUNCTION("""COMPUTED_VALUE"""),"Zhenmay")</f>
        <v>Zhenmay</v>
      </c>
    </row>
    <row r="45">
      <c r="A45" s="2" t="str">
        <f>IFERROR(__xludf.DUMMYFUNCTION("""COMPUTED_VALUE"""),"Abyssville")</f>
        <v>Abyssville</v>
      </c>
    </row>
    <row r="46">
      <c r="A46" s="2" t="str">
        <f>IFERROR(__xludf.DUMMYFUNCTION("""COMPUTED_VALUE"""),"Chaotic Village of Suffering")</f>
        <v>Chaotic Village of Suffering</v>
      </c>
    </row>
    <row r="47">
      <c r="A47" s="2" t="str">
        <f>IFERROR(__xludf.DUMMYFUNCTION("""COMPUTED_VALUE"""),"City of Flames")</f>
        <v>City of Flames</v>
      </c>
    </row>
    <row r="48">
      <c r="A48" s="2" t="str">
        <f>IFERROR(__xludf.DUMMYFUNCTION("""COMPUTED_VALUE"""),"City of Undying")</f>
        <v>City of Undying</v>
      </c>
    </row>
    <row r="49">
      <c r="A49" s="2" t="str">
        <f>IFERROR(__xludf.DUMMYFUNCTION("""COMPUTED_VALUE"""),"Ember Ocean")</f>
        <v>Ember Ocean</v>
      </c>
    </row>
    <row r="50">
      <c r="A50" s="2" t="str">
        <f>IFERROR(__xludf.DUMMYFUNCTION("""COMPUTED_VALUE"""),"Feral Empire")</f>
        <v>Feral Empire</v>
      </c>
    </row>
    <row r="51">
      <c r="A51" s="2" t="str">
        <f>IFERROR(__xludf.DUMMYFUNCTION("""COMPUTED_VALUE"""),"Gargoyle Fortress")</f>
        <v>Gargoyle Fortress</v>
      </c>
    </row>
    <row r="52">
      <c r="A52" s="2" t="str">
        <f>IFERROR(__xludf.DUMMYFUNCTION("""COMPUTED_VALUE"""),"Land of The Banished")</f>
        <v>Land of The Banished</v>
      </c>
    </row>
    <row r="53">
      <c r="A53" s="2" t="str">
        <f>IFERROR(__xludf.DUMMYFUNCTION("""COMPUTED_VALUE"""),"Land of The Demons")</f>
        <v>Land of The Demons</v>
      </c>
    </row>
    <row r="54">
      <c r="A54" s="2" t="str">
        <f>IFERROR(__xludf.DUMMYFUNCTION("""COMPUTED_VALUE"""),"Satanic City")</f>
        <v>Satanic City</v>
      </c>
    </row>
    <row r="55">
      <c r="A55" s="2" t="str">
        <f>IFERROR(__xludf.DUMMYFUNCTION("""COMPUTED_VALUE"""),"Smoldering Ocean")</f>
        <v>Smoldering Ocean</v>
      </c>
    </row>
    <row r="56">
      <c r="A56" s="2" t="str">
        <f>IFERROR(__xludf.DUMMYFUNCTION("""COMPUTED_VALUE"""),"Soul Empire")</f>
        <v>Soul Empire</v>
      </c>
    </row>
    <row r="57">
      <c r="A57" s="2" t="str">
        <f>IFERROR(__xludf.DUMMYFUNCTION("""COMPUTED_VALUE"""),"The Black Lake")</f>
        <v>The Black Lake</v>
      </c>
    </row>
    <row r="58">
      <c r="A58" s="2" t="str">
        <f>IFERROR(__xludf.DUMMYFUNCTION("""COMPUTED_VALUE"""),"The Inferno Lake")</f>
        <v>The Inferno Lake</v>
      </c>
    </row>
    <row r="59">
      <c r="A59" s="2" t="str">
        <f>IFERROR(__xludf.DUMMYFUNCTION("""COMPUTED_VALUE"""),"The Night Region")</f>
        <v>The Night Region</v>
      </c>
    </row>
    <row r="60">
      <c r="A60" s="2" t="str">
        <f>IFERROR(__xludf.DUMMYFUNCTION("""COMPUTED_VALUE"""),"The Nightmare Realm")</f>
        <v>The Nightmare Realm</v>
      </c>
    </row>
    <row r="61">
      <c r="A61" s="2" t="str">
        <f>IFERROR(__xludf.DUMMYFUNCTION("""COMPUTED_VALUE"""),"Cathedral of the Forsaken")</f>
        <v>Cathedral of the Forsaken</v>
      </c>
    </row>
    <row r="62">
      <c r="A62" s="2" t="str">
        <f>IFERROR(__xludf.DUMMYFUNCTION("""COMPUTED_VALUE"""),"The Ancient City of Jinnlar (Currently Unavailable)")</f>
        <v>The Ancient City of Jinnlar (Currently Unavailable)</v>
      </c>
    </row>
    <row r="63">
      <c r="A63" s="2" t="str">
        <f>IFERROR(__xludf.DUMMYFUNCTION("""COMPUTED_VALUE"""),"Chaotic Old Village")</f>
        <v>Chaotic Old Village</v>
      </c>
    </row>
    <row r="64">
      <c r="A64" s="2" t="str">
        <f>IFERROR(__xludf.DUMMYFUNCTION("""COMPUTED_VALUE"""),"Puppet Masters Cave")</f>
        <v>Puppet Masters Cave</v>
      </c>
    </row>
    <row r="65">
      <c r="A65" s="2" t="str">
        <f>IFERROR(__xludf.DUMMYFUNCTION("""COMPUTED_VALUE"""),"Puppet Masters Hedge Maze")</f>
        <v>Puppet Masters Hedge Maze</v>
      </c>
    </row>
    <row r="66">
      <c r="A66" s="2" t="str">
        <f>IFERROR(__xludf.DUMMYFUNCTION("""COMPUTED_VALUE"""),"SerpentScale Village")</f>
        <v>SerpentScale Village</v>
      </c>
    </row>
    <row r="67">
      <c r="A67" s="2" t="str">
        <f>IFERROR(__xludf.DUMMYFUNCTION("""COMPUTED_VALUE"""),"Mouth of The Dragon")</f>
        <v>Mouth of The Dragon</v>
      </c>
    </row>
    <row r="68">
      <c r="A68" s="2" t="str">
        <f>IFERROR(__xludf.DUMMYFUNCTION("""COMPUTED_VALUE"""),"Dragonscale Dungeon")</f>
        <v>Dragonscale Dungeon</v>
      </c>
    </row>
    <row r="69">
      <c r="A69" s="2" t="str">
        <f>IFERROR(__xludf.DUMMYFUNCTION("""COMPUTED_VALUE"""),"Sweltering Salamander Swamp")</f>
        <v>Sweltering Salamander Swamp</v>
      </c>
    </row>
    <row r="70">
      <c r="A70" s="2" t="str">
        <f>IFERROR(__xludf.DUMMYFUNCTION("""COMPUTED_VALUE"""),"Gecko-Tail Passage")</f>
        <v>Gecko-Tail Passage</v>
      </c>
    </row>
    <row r="71">
      <c r="A71" s="2" t="str">
        <f>IFERROR(__xludf.DUMMYFUNCTION("""COMPUTED_VALUE"""),"Wyverntail Waterfalls")</f>
        <v>Wyverntail Waterfalls</v>
      </c>
    </row>
    <row r="72">
      <c r="A72" s="2" t="str">
        <f>IFERROR(__xludf.DUMMYFUNCTION("""COMPUTED_VALUE"""),"Tortoise Shell Island")</f>
        <v>Tortoise Shell Island</v>
      </c>
    </row>
    <row r="73">
      <c r="A73" s="2" t="str">
        <f>IFERROR(__xludf.DUMMYFUNCTION("""COMPUTED_VALUE"""),"Komodo Caverns")</f>
        <v>Komodo Caverns</v>
      </c>
    </row>
    <row r="74">
      <c r="A74" s="2" t="str">
        <f>IFERROR(__xludf.DUMMYFUNCTION("""COMPUTED_VALUE"""),"DragonTear Lake (Eye of The Dragon)")</f>
        <v>DragonTear Lake (Eye of The Dragon)</v>
      </c>
    </row>
    <row r="75">
      <c r="A75" s="2" t="str">
        <f>IFERROR(__xludf.DUMMYFUNCTION("""COMPUTED_VALUE"""),"DragonScale Summit")</f>
        <v>DragonScale Summit</v>
      </c>
    </row>
    <row r="76">
      <c r="A76" s="2" t="str">
        <f>IFERROR(__xludf.DUMMYFUNCTION("""COMPUTED_VALUE"""),"DragonScale Vale")</f>
        <v>DragonScale Vale</v>
      </c>
    </row>
    <row r="77">
      <c r="A77" s="2" t="str">
        <f>IFERROR(__xludf.DUMMYFUNCTION("""COMPUTED_VALUE"""),"DragonScale Grotto")</f>
        <v>DragonScale Grotto</v>
      </c>
    </row>
    <row r="78">
      <c r="A78" s="2" t="str">
        <f>IFERROR(__xludf.DUMMYFUNCTION("""COMPUTED_VALUE"""),"Lava Lizard Lake")</f>
        <v>Lava Lizard Lake</v>
      </c>
    </row>
    <row r="79">
      <c r="A79" s="2" t="str">
        <f>IFERROR(__xludf.DUMMYFUNCTION("""COMPUTED_VALUE"""),"Crypts of the Ancient One")</f>
        <v>Crypts of the Ancient One</v>
      </c>
    </row>
    <row r="80">
      <c r="A80" s="2" t="str">
        <f>IFERROR(__xludf.DUMMYFUNCTION("""COMPUTED_VALUE"""),"DragonScale Arena")</f>
        <v>DragonScale Arena</v>
      </c>
    </row>
    <row r="81">
      <c r="A81" s="2" t="str">
        <f>IFERROR(__xludf.DUMMYFUNCTION("""COMPUTED_VALUE"""),"Thundertail Falls")</f>
        <v>Thundertail Falls</v>
      </c>
    </row>
    <row r="82">
      <c r="A82" s="2" t="str">
        <f>IFERROR(__xludf.DUMMYFUNCTION("""COMPUTED_VALUE"""),"Shimmering Shadow Lake")</f>
        <v>Shimmering Shadow Lake</v>
      </c>
    </row>
    <row r="83">
      <c r="A83" s="2" t="str">
        <f>IFERROR(__xludf.DUMMYFUNCTION("""COMPUTED_VALUE"""),"Silverwood")</f>
        <v>Silverwood</v>
      </c>
    </row>
    <row r="84">
      <c r="A84" s="2" t="str">
        <f>IFERROR(__xludf.DUMMYFUNCTION("""COMPUTED_VALUE"""),"DragonSpire")</f>
        <v>DragonSpire</v>
      </c>
    </row>
    <row r="85">
      <c r="A85" s="2" t="str">
        <f>IFERROR(__xludf.DUMMYFUNCTION("""COMPUTED_VALUE"""),"Watertail Fjord")</f>
        <v>Watertail Fjord</v>
      </c>
    </row>
    <row r="86">
      <c r="A86" s="2" t="str">
        <f>IFERROR(__xludf.DUMMYFUNCTION("""COMPUTED_VALUE"""),"Firetail Mountain")</f>
        <v>Firetail Mountain</v>
      </c>
    </row>
    <row r="87">
      <c r="A87" s="2" t="str">
        <f>IFERROR(__xludf.DUMMYFUNCTION("""COMPUTED_VALUE"""),"The Grand City of Dragonia")</f>
        <v>The Grand City of Dragonia</v>
      </c>
    </row>
    <row r="88">
      <c r="A88" s="2" t="str">
        <f>IFERROR(__xludf.DUMMYFUNCTION("""COMPUTED_VALUE"""),"Fogweb Ninja Village in the Mist")</f>
        <v>Fogweb Ninja Village in the Mist</v>
      </c>
    </row>
    <row r="89">
      <c r="A89" s="2" t="str">
        <f>IFERROR(__xludf.DUMMYFUNCTION("""COMPUTED_VALUE"""),"Mistpeak Ninja Village in the Mountains")</f>
        <v>Mistpeak Ninja Village in the Mountains</v>
      </c>
    </row>
    <row r="90">
      <c r="A90" s="2" t="str">
        <f>IFERROR(__xludf.DUMMYFUNCTION("""COMPUTED_VALUE"""),"Ribbonton Ninja Village in the Trees")</f>
        <v>Ribbonton Ninja Village in the Trees</v>
      </c>
    </row>
    <row r="91">
      <c r="A91" s="2" t="str">
        <f>IFERROR(__xludf.DUMMYFUNCTION("""COMPUTED_VALUE"""),"Sandhopper Oasis Ninja Village in the Desert")</f>
        <v>Sandhopper Oasis Ninja Village in the Desert</v>
      </c>
    </row>
    <row r="92">
      <c r="A92" s="2" t="str">
        <f>IFERROR(__xludf.DUMMYFUNCTION("""COMPUTED_VALUE"""),"Stonecroak Ninja Village in the Quarry")</f>
        <v>Stonecroak Ninja Village in the Quarry</v>
      </c>
    </row>
    <row r="93">
      <c r="A93" s="2" t="str">
        <f>IFERROR(__xludf.DUMMYFUNCTION("""COMPUTED_VALUE"""),"Amphibuki Hideout")</f>
        <v>Amphibuki Hideout</v>
      </c>
    </row>
    <row r="94">
      <c r="A94" s="2" t="str">
        <f>IFERROR(__xludf.DUMMYFUNCTION("""COMPUTED_VALUE"""),"The Magical and Majestic Mountains")</f>
        <v>The Magical and Majestic Mountains</v>
      </c>
    </row>
    <row r="95">
      <c r="A95" s="2" t="str">
        <f>IFERROR(__xludf.DUMMYFUNCTION("""COMPUTED_VALUE"""),"Magical Mountains of Manifestations")</f>
        <v>Magical Mountains of Manifestations</v>
      </c>
    </row>
    <row r="96">
      <c r="A96" s="2" t="str">
        <f>IFERROR(__xludf.DUMMYFUNCTION("""COMPUTED_VALUE"""),"Mountains of War and Dishonor ")</f>
        <v>Mountains of War and Dishonor </v>
      </c>
    </row>
    <row r="97">
      <c r="A97" s="2" t="str">
        <f>IFERROR(__xludf.DUMMYFUNCTION("""COMPUTED_VALUE"""),"Centraria")</f>
        <v>Centraria</v>
      </c>
    </row>
    <row r="98">
      <c r="A98" s="2" t="str">
        <f>IFERROR(__xludf.DUMMYFUNCTION("""COMPUTED_VALUE"""),"The Lost City of Knappadalr")</f>
        <v>The Lost City of Knappadalr</v>
      </c>
    </row>
    <row r="99">
      <c r="A99" s="2" t="str">
        <f>IFERROR(__xludf.DUMMYFUNCTION("""COMPUTED_VALUE"""),"Paradise Island")</f>
        <v>Paradise Island</v>
      </c>
    </row>
    <row r="100">
      <c r="A100" s="2" t="str">
        <f>IFERROR(__xludf.DUMMYFUNCTION("""COMPUTED_VALUE"""),"Pirate's Cove")</f>
        <v>Pirate's Cove</v>
      </c>
    </row>
    <row r="101">
      <c r="A101" s="2" t="str">
        <f>IFERROR(__xludf.DUMMYFUNCTION("""COMPUTED_VALUE"""),"Candy Corn Village")</f>
        <v>Candy Corn Village</v>
      </c>
    </row>
    <row r="102">
      <c r="A102" s="2" t="str">
        <f>IFERROR(__xludf.DUMMYFUNCTION("""COMPUTED_VALUE"""),"Atlotopia")</f>
        <v>Atlotopia</v>
      </c>
    </row>
    <row r="103">
      <c r="A103" s="2" t="str">
        <f>IFERROR(__xludf.DUMMYFUNCTION("""COMPUTED_VALUE"""),"Thanksgiving Island")</f>
        <v>Thanksgiving Island</v>
      </c>
    </row>
    <row r="104">
      <c r="A104" s="2" t="str">
        <f>IFERROR(__xludf.DUMMYFUNCTION("""COMPUTED_VALUE"""),"Halloween Island")</f>
        <v>Halloween Island</v>
      </c>
    </row>
    <row r="105">
      <c r="A105" s="2" t="str">
        <f>IFERROR(__xludf.DUMMYFUNCTION("""COMPUTED_VALUE"""),"The Frozen Island")</f>
        <v>The Frozen Island</v>
      </c>
    </row>
    <row r="106">
      <c r="A106" s="2" t="str">
        <f>IFERROR(__xludf.DUMMYFUNCTION("""COMPUTED_VALUE"""),"Beltane Island")</f>
        <v>Beltane Island</v>
      </c>
    </row>
    <row r="107">
      <c r="A107" s="2" t="str">
        <f>IFERROR(__xludf.DUMMYFUNCTION("""COMPUTED_VALUE"""),"Lughnasadh Island")</f>
        <v>Lughnasadh Island</v>
      </c>
    </row>
    <row r="108">
      <c r="A108" s="2" t="str">
        <f>IFERROR(__xludf.DUMMYFUNCTION("""COMPUTED_VALUE"""),"Stormy Island")</f>
        <v>Stormy Island</v>
      </c>
    </row>
    <row r="109">
      <c r="A109" s="2" t="str">
        <f>IFERROR(__xludf.DUMMYFUNCTION("""COMPUTED_VALUE"""),"Swampy Island")</f>
        <v>Swampy Island</v>
      </c>
    </row>
    <row r="110">
      <c r="A110" s="2" t="str">
        <f>IFERROR(__xludf.DUMMYFUNCTION("""COMPUTED_VALUE"""),"Lunar New Year Island")</f>
        <v>Lunar New Year Island</v>
      </c>
    </row>
    <row r="111">
      <c r="A111" s="2" t="str">
        <f>IFERROR(__xludf.DUMMYFUNCTION("""COMPUTED_VALUE"""),"Wilderness (Spira)")</f>
        <v>Wilderness (Spira)</v>
      </c>
    </row>
    <row r="112">
      <c r="A112" s="2" t="str">
        <f>IFERROR(__xludf.DUMMYFUNCTION("""COMPUTED_VALUE"""),"Wilderness (DragonScale)")</f>
        <v>Wilderness (DragonScale)</v>
      </c>
    </row>
    <row r="113">
      <c r="A113" s="2" t="str">
        <f>IFERROR(__xludf.DUMMYFUNCTION("""COMPUTED_VALUE"""),"Wilderness (Abstara)")</f>
        <v>Wilderness (Abstara)</v>
      </c>
    </row>
    <row r="114">
      <c r="A114" s="2" t="str">
        <f>IFERROR(__xludf.DUMMYFUNCTION("""COMPUTED_VALUE"""),"Wilderness (Solreach)")</f>
        <v>Wilderness (Solreach)</v>
      </c>
    </row>
    <row r="115">
      <c r="A115" s="2" t="str">
        <f>IFERROR(__xludf.DUMMYFUNCTION("""COMPUTED_VALUE"""),"Angel Wing Village")</f>
        <v>Angel Wing Village</v>
      </c>
    </row>
    <row r="116">
      <c r="A116" s="2" t="str">
        <f>IFERROR(__xludf.DUMMYFUNCTION("""COMPUTED_VALUE"""),"Atmos")</f>
        <v>Atmos</v>
      </c>
    </row>
    <row r="117">
      <c r="A117" s="2" t="str">
        <f>IFERROR(__xludf.DUMMYFUNCTION("""COMPUTED_VALUE"""),"Council Grounds")</f>
        <v>Council Grounds</v>
      </c>
    </row>
    <row r="118">
      <c r="A118" s="2" t="str">
        <f>IFERROR(__xludf.DUMMYFUNCTION("""COMPUTED_VALUE"""),"Godsville")</f>
        <v>Godsville</v>
      </c>
    </row>
    <row r="119">
      <c r="A119" s="2" t="str">
        <f>IFERROR(__xludf.DUMMYFUNCTION("""COMPUTED_VALUE"""),"Imperos")</f>
        <v>Imperos</v>
      </c>
    </row>
    <row r="120">
      <c r="A120" s="2" t="str">
        <f>IFERROR(__xludf.DUMMYFUNCTION("""COMPUTED_VALUE"""),"Lower Fortress")</f>
        <v>Lower Fortress</v>
      </c>
    </row>
    <row r="121">
      <c r="A121" s="2" t="str">
        <f>IFERROR(__xludf.DUMMYFUNCTION("""COMPUTED_VALUE"""),"Upper Fortress")</f>
        <v>Upper Fortress</v>
      </c>
    </row>
    <row r="122">
      <c r="A122" s="2" t="str">
        <f>IFERROR(__xludf.DUMMYFUNCTION("""COMPUTED_VALUE"""),"New Circos")</f>
        <v>New Circos</v>
      </c>
    </row>
    <row r="123">
      <c r="A123" s="2" t="str">
        <f>IFERROR(__xludf.DUMMYFUNCTION("""COMPUTED_VALUE"""),"Nova Volaris")</f>
        <v>Nova Volaris</v>
      </c>
    </row>
    <row r="124">
      <c r="A124" s="2" t="str">
        <f>IFERROR(__xludf.DUMMYFUNCTION("""COMPUTED_VALUE"""),"Sonus")</f>
        <v>Sonus</v>
      </c>
    </row>
    <row r="125">
      <c r="A125" s="2" t="str">
        <f>IFERROR(__xludf.DUMMYFUNCTION("""COMPUTED_VALUE"""),"The City of Cetheoth")</f>
        <v>The City of Cetheoth</v>
      </c>
    </row>
    <row r="126">
      <c r="A126" s="2" t="str">
        <f>IFERROR(__xludf.DUMMYFUNCTION("""COMPUTED_VALUE"""),"The City of Ebain")</f>
        <v>The City of Ebain</v>
      </c>
    </row>
    <row r="127">
      <c r="A127" s="2" t="str">
        <f>IFERROR(__xludf.DUMMYFUNCTION("""COMPUTED_VALUE"""),"The City of Nonnaih")</f>
        <v>The City of Nonnaih</v>
      </c>
    </row>
    <row r="128">
      <c r="A128" s="2" t="str">
        <f>IFERROR(__xludf.DUMMYFUNCTION("""COMPUTED_VALUE"""),"The City of Sheopria")</f>
        <v>The City of Sheopria</v>
      </c>
    </row>
    <row r="129">
      <c r="A129" s="2" t="str">
        <f>IFERROR(__xludf.DUMMYFUNCTION("""COMPUTED_VALUE"""),"Ventis")</f>
        <v>Ventis</v>
      </c>
    </row>
    <row r="130">
      <c r="A130" s="2" t="str">
        <f>IFERROR(__xludf.DUMMYFUNCTION("""COMPUTED_VALUE"""),"Volance")</f>
        <v>Volance</v>
      </c>
    </row>
    <row r="131">
      <c r="A131" s="2" t="str">
        <f>IFERROR(__xludf.DUMMYFUNCTION("""COMPUTED_VALUE"""),"Easter Island")</f>
        <v>Easter Island</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tr">
        <f>IFERROR(__xludf.DUMMYFUNCTION("IMPORTRANGE(""https://docs.google.com/spreadsheets/d/1g_AeDkwsPncYqeTMHcCDZCjj6wqB0sW_-miBSQqz6gk"",""Towns!$A$2:$AX"")"),"Blackhorn")</f>
        <v>Blackhorn</v>
      </c>
      <c r="B1" s="2" t="str">
        <f>IFERROR(__xludf.DUMMYFUNCTION("""COMPUTED_VALUE"""),"A city of undead protected by a ward that makes any non undead creature leave their body and become a soul if they pass through the ward. Once a soul you have a limited ammount of time to make your way back to your body before you get trapped in the city "&amp;"for eternity.")</f>
        <v>A city of undead protected by a ward that makes any non undead creature leave their body and become a soul if they pass through the ward. Once a soul you have a limited ammount of time to make your way back to your body before you get trapped in the city for eternity.</v>
      </c>
      <c r="C1" s="2" t="str">
        <f>IFERROR(__xludf.DUMMYFUNCTION("""COMPUTED_VALUE"""),"Land of Spira")</f>
        <v>Land of Spira</v>
      </c>
      <c r="D1" s="2"/>
      <c r="E1" s="16">
        <f>IFERROR(__xludf.DUMMYFUNCTION("""COMPUTED_VALUE"""),1.05E9)</f>
        <v>1050000000</v>
      </c>
      <c r="F1" s="2" t="str">
        <f>IFERROR(__xludf.DUMMYFUNCTION("""COMPUTED_VALUE"""),"Gilder")</f>
        <v>Gilder</v>
      </c>
      <c r="G1" s="2"/>
      <c r="H1" s="2"/>
      <c r="I1" s="2"/>
      <c r="J1" s="2"/>
      <c r="K1" s="2"/>
      <c r="L1" s="2"/>
      <c r="M1" s="2"/>
      <c r="N1" s="2"/>
      <c r="O1" s="2"/>
      <c r="P1" s="2"/>
      <c r="Q1" s="2"/>
      <c r="R1" s="2"/>
      <c r="S1" s="2"/>
      <c r="T1" s="2"/>
      <c r="U1" s="2"/>
      <c r="V1" s="2"/>
      <c r="W1" s="2"/>
      <c r="X1" s="2"/>
      <c r="Y1" s="2"/>
      <c r="Z1" s="2"/>
    </row>
    <row r="2">
      <c r="A2" s="2" t="str">
        <f>IFERROR(__xludf.DUMMYFUNCTION("""COMPUTED_VALUE"""),"Chaotic Seas")</f>
        <v>Chaotic Seas</v>
      </c>
      <c r="B2" s="2" t="str">
        <f>IFERROR(__xludf.DUMMYFUNCTION("""COMPUTED_VALUE"""),"A deadly patch of waters within the Land Of Spira that captains are feared to even travel near. Its said that you may be able to find a sacred tower lying within the Chaotic Seas if you are even able to survive its deadly current.")</f>
        <v>A deadly patch of waters within the Land Of Spira that captains are feared to even travel near. Its said that you may be able to find a sacred tower lying within the Chaotic Seas if you are even able to survive its deadly current.</v>
      </c>
      <c r="C2" s="2" t="str">
        <f>IFERROR(__xludf.DUMMYFUNCTION("""COMPUTED_VALUE"""),"Land of Spira")</f>
        <v>Land of Spira</v>
      </c>
      <c r="D2" s="2"/>
      <c r="E2" s="16">
        <f>IFERROR(__xludf.DUMMYFUNCTION("""COMPUTED_VALUE"""),1.0E9)</f>
        <v>1000000000</v>
      </c>
      <c r="F2" s="2" t="str">
        <f>IFERROR(__xludf.DUMMYFUNCTION("""COMPUTED_VALUE"""),"Gilder")</f>
        <v>Gilder</v>
      </c>
      <c r="G2" s="2"/>
      <c r="H2" s="2"/>
      <c r="I2" s="2"/>
      <c r="J2" s="2"/>
      <c r="K2" s="2"/>
      <c r="L2" s="2"/>
      <c r="M2" s="2"/>
      <c r="N2" s="2"/>
      <c r="O2" s="2"/>
      <c r="P2" s="2"/>
      <c r="Q2" s="2"/>
      <c r="R2" s="2"/>
      <c r="S2" s="2"/>
      <c r="T2" s="2"/>
      <c r="U2" s="2"/>
      <c r="V2" s="2"/>
      <c r="W2" s="2"/>
      <c r="X2" s="2"/>
      <c r="Y2" s="2"/>
      <c r="Z2" s="2"/>
    </row>
    <row r="3">
      <c r="A3" s="2" t="str">
        <f>IFERROR(__xludf.DUMMYFUNCTION("""COMPUTED_VALUE"""),"Civille")</f>
        <v>Civille</v>
      </c>
      <c r="B3" s="2" t="str">
        <f>IFERROR(__xludf.DUMMYFUNCTION("""COMPUTED_VALUE"""),"One of the oldest and most popular cities of spira famous for the amount of people that travel in and out of the city.")</f>
        <v>One of the oldest and most popular cities of spira famous for the amount of people that travel in and out of the city.</v>
      </c>
      <c r="C3" s="2" t="str">
        <f>IFERROR(__xludf.DUMMYFUNCTION("""COMPUTED_VALUE"""),"Land of Spira")</f>
        <v>Land of Spira</v>
      </c>
      <c r="D3" s="2"/>
      <c r="E3" s="16">
        <f>IFERROR(__xludf.DUMMYFUNCTION("""COMPUTED_VALUE"""),1.00401E9)</f>
        <v>1004010000</v>
      </c>
      <c r="F3" s="2" t="str">
        <f>IFERROR(__xludf.DUMMYFUNCTION("""COMPUTED_VALUE"""),"Gilder")</f>
        <v>Gilder</v>
      </c>
      <c r="G3" s="2"/>
      <c r="H3" s="2"/>
      <c r="I3" s="2"/>
      <c r="J3" s="2"/>
      <c r="K3" s="2"/>
      <c r="L3" s="2"/>
      <c r="M3" s="2"/>
      <c r="N3" s="2"/>
      <c r="O3" s="2"/>
      <c r="P3" s="2"/>
      <c r="Q3" s="2"/>
      <c r="R3" s="2"/>
      <c r="S3" s="2"/>
      <c r="T3" s="2"/>
      <c r="U3" s="2"/>
      <c r="V3" s="2"/>
      <c r="W3" s="2"/>
      <c r="X3" s="2"/>
      <c r="Y3" s="2"/>
      <c r="Z3" s="2"/>
    </row>
    <row r="4">
      <c r="A4" s="2" t="str">
        <f>IFERROR(__xludf.DUMMYFUNCTION("""COMPUTED_VALUE"""),"Crystal Cave")</f>
        <v>Crystal Cave</v>
      </c>
      <c r="B4" s="2" t="str">
        <f>IFERROR(__xludf.DUMMYFUNCTION("""COMPUTED_VALUE"""),"A cavern city made of gemstones and mostly crystals. Home to The Crystal King and undead Citizens.")</f>
        <v>A cavern city made of gemstones and mostly crystals. Home to The Crystal King and undead Citizens.</v>
      </c>
      <c r="C4" s="2" t="str">
        <f>IFERROR(__xludf.DUMMYFUNCTION("""COMPUTED_VALUE"""),"Land of Spira")</f>
        <v>Land of Spira</v>
      </c>
      <c r="D4" s="2"/>
      <c r="E4" s="16">
        <f>IFERROR(__xludf.DUMMYFUNCTION("""COMPUTED_VALUE"""),1.0E9)</f>
        <v>1000000000</v>
      </c>
      <c r="F4" s="2" t="str">
        <f>IFERROR(__xludf.DUMMYFUNCTION("""COMPUTED_VALUE"""),"Gilder")</f>
        <v>Gilder</v>
      </c>
      <c r="G4" s="2"/>
      <c r="H4" s="2"/>
      <c r="I4" s="2"/>
      <c r="J4" s="2"/>
      <c r="K4" s="2"/>
      <c r="L4" s="2"/>
      <c r="M4" s="2"/>
      <c r="N4" s="2"/>
      <c r="O4" s="2"/>
      <c r="P4" s="2"/>
      <c r="Q4" s="2"/>
      <c r="R4" s="2"/>
      <c r="S4" s="2"/>
      <c r="T4" s="2"/>
      <c r="U4" s="2"/>
      <c r="V4" s="2"/>
      <c r="W4" s="2"/>
      <c r="X4" s="2"/>
      <c r="Y4" s="2"/>
      <c r="Z4" s="2"/>
    </row>
    <row r="5">
      <c r="A5" s="2" t="str">
        <f>IFERROR(__xludf.DUMMYFUNCTION("""COMPUTED_VALUE"""),"Cursed Iceland")</f>
        <v>Cursed Iceland</v>
      </c>
      <c r="B5" s="2" t="str">
        <f>IFERROR(__xludf.DUMMYFUNCTION("""COMPUTED_VALUE"""),"A cursed area that is said to freeze you permanantly if you step on the wrong path of ice, 10% chance of permanant death.")</f>
        <v>A cursed area that is said to freeze you permanantly if you step on the wrong path of ice, 10% chance of permanant death.</v>
      </c>
      <c r="C5" s="2" t="str">
        <f>IFERROR(__xludf.DUMMYFUNCTION("""COMPUTED_VALUE"""),"Land of Spira")</f>
        <v>Land of Spira</v>
      </c>
      <c r="D5" s="2"/>
      <c r="E5" s="16">
        <f>IFERROR(__xludf.DUMMYFUNCTION("""COMPUTED_VALUE"""),1.0E9)</f>
        <v>1000000000</v>
      </c>
      <c r="F5" s="2" t="str">
        <f>IFERROR(__xludf.DUMMYFUNCTION("""COMPUTED_VALUE"""),"Gilder")</f>
        <v>Gilder</v>
      </c>
      <c r="G5" s="2"/>
      <c r="H5" s="2"/>
      <c r="I5" s="2"/>
      <c r="J5" s="2"/>
      <c r="K5" s="2"/>
      <c r="L5" s="2"/>
      <c r="M5" s="2"/>
      <c r="N5" s="2"/>
      <c r="O5" s="2"/>
      <c r="P5" s="2"/>
      <c r="Q5" s="2"/>
      <c r="R5" s="2"/>
      <c r="S5" s="2"/>
      <c r="T5" s="2"/>
      <c r="U5" s="2"/>
      <c r="V5" s="2"/>
      <c r="W5" s="2"/>
      <c r="X5" s="2"/>
      <c r="Y5" s="2"/>
      <c r="Z5" s="2"/>
    </row>
    <row r="6">
      <c r="A6" s="2" t="str">
        <f>IFERROR(__xludf.DUMMYFUNCTION("""COMPUTED_VALUE"""),"Dead Forest")</f>
        <v>Dead Forest</v>
      </c>
      <c r="B6" s="2" t="str">
        <f>IFERROR(__xludf.DUMMYFUNCTION("""COMPUTED_VALUE"""),"A forest of dead trees surrounded by undead and a hidden city beneath the forest.")</f>
        <v>A forest of dead trees surrounded by undead and a hidden city beneath the forest.</v>
      </c>
      <c r="C6" s="2" t="str">
        <f>IFERROR(__xludf.DUMMYFUNCTION("""COMPUTED_VALUE"""),"Land of Spira")</f>
        <v>Land of Spira</v>
      </c>
      <c r="D6" s="2"/>
      <c r="E6" s="16">
        <f>IFERROR(__xludf.DUMMYFUNCTION("""COMPUTED_VALUE"""),1.0E9)</f>
        <v>1000000000</v>
      </c>
      <c r="F6" s="2" t="str">
        <f>IFERROR(__xludf.DUMMYFUNCTION("""COMPUTED_VALUE"""),"Gilder")</f>
        <v>Gilder</v>
      </c>
      <c r="G6" s="2"/>
      <c r="H6" s="2"/>
      <c r="I6" s="2"/>
      <c r="J6" s="2"/>
      <c r="K6" s="2"/>
      <c r="L6" s="2"/>
      <c r="M6" s="2"/>
      <c r="N6" s="2"/>
      <c r="O6" s="2"/>
      <c r="P6" s="2"/>
      <c r="Q6" s="2"/>
      <c r="R6" s="2"/>
      <c r="S6" s="2"/>
      <c r="T6" s="2"/>
      <c r="U6" s="2"/>
      <c r="V6" s="2"/>
      <c r="W6" s="2"/>
      <c r="X6" s="2"/>
      <c r="Y6" s="2"/>
      <c r="Z6" s="2"/>
    </row>
    <row r="7">
      <c r="A7" s="2" t="str">
        <f>IFERROR(__xludf.DUMMYFUNCTION("""COMPUTED_VALUE"""),"Desert island")</f>
        <v>Desert island</v>
      </c>
      <c r="B7" s="2" t="str">
        <f>IFERROR(__xludf.DUMMYFUNCTION("""COMPUTED_VALUE"""),"Founded and Ruled by King Zorgod. A very powerful kingdom for its size that is protected by giant sand worms.")</f>
        <v>Founded and Ruled by King Zorgod. A very powerful kingdom for its size that is protected by giant sand worms.</v>
      </c>
      <c r="C7" s="2" t="str">
        <f>IFERROR(__xludf.DUMMYFUNCTION("""COMPUTED_VALUE"""),"Land of Spira")</f>
        <v>Land of Spira</v>
      </c>
      <c r="D7" s="2"/>
      <c r="E7" s="16">
        <f>IFERROR(__xludf.DUMMYFUNCTION("""COMPUTED_VALUE"""),1.0E9)</f>
        <v>1000000000</v>
      </c>
      <c r="F7" s="2" t="str">
        <f>IFERROR(__xludf.DUMMYFUNCTION("""COMPUTED_VALUE"""),"Gilder")</f>
        <v>Gilder</v>
      </c>
      <c r="G7" s="2"/>
      <c r="H7" s="2"/>
      <c r="I7" s="2"/>
      <c r="J7" s="2"/>
      <c r="K7" s="2"/>
      <c r="L7" s="2"/>
      <c r="M7" s="2"/>
      <c r="N7" s="2"/>
      <c r="O7" s="2"/>
      <c r="P7" s="2"/>
      <c r="Q7" s="2"/>
      <c r="R7" s="2"/>
      <c r="S7" s="2"/>
      <c r="T7" s="2"/>
      <c r="U7" s="2"/>
      <c r="V7" s="2"/>
      <c r="W7" s="2"/>
      <c r="X7" s="2"/>
      <c r="Y7" s="2"/>
      <c r="Z7" s="2"/>
    </row>
    <row r="8">
      <c r="A8" s="2" t="str">
        <f>IFERROR(__xludf.DUMMYFUNCTION("""COMPUTED_VALUE"""),"Docile Plains")</f>
        <v>Docile Plains</v>
      </c>
      <c r="B8" s="2" t="str">
        <f>IFERROR(__xludf.DUMMYFUNCTION("""COMPUTED_VALUE"""),"An area that is unknown by many, Whenever people have passed threw this area they have said it was calm and quiet and that nothing distubed them. When traveling threw this area a bad day of travel becomes good.")</f>
        <v>An area that is unknown by many, Whenever people have passed threw this area they have said it was calm and quiet and that nothing distubed them. When traveling threw this area a bad day of travel becomes good.</v>
      </c>
      <c r="C8" s="2" t="str">
        <f>IFERROR(__xludf.DUMMYFUNCTION("""COMPUTED_VALUE"""),"Land of Spira")</f>
        <v>Land of Spira</v>
      </c>
      <c r="D8" s="2"/>
      <c r="E8" s="16">
        <f>IFERROR(__xludf.DUMMYFUNCTION("""COMPUTED_VALUE"""),1.0E9)</f>
        <v>1000000000</v>
      </c>
      <c r="F8" s="2" t="str">
        <f>IFERROR(__xludf.DUMMYFUNCTION("""COMPUTED_VALUE"""),"Gilder")</f>
        <v>Gilder</v>
      </c>
      <c r="G8" s="2"/>
      <c r="H8" s="2"/>
      <c r="I8" s="2"/>
      <c r="J8" s="2"/>
      <c r="K8" s="2"/>
      <c r="L8" s="2"/>
      <c r="M8" s="2"/>
      <c r="N8" s="2"/>
      <c r="O8" s="2"/>
      <c r="P8" s="2"/>
      <c r="Q8" s="2"/>
      <c r="R8" s="2"/>
      <c r="S8" s="2"/>
      <c r="T8" s="2"/>
      <c r="U8" s="2"/>
      <c r="V8" s="2"/>
      <c r="W8" s="2"/>
      <c r="X8" s="2"/>
      <c r="Y8" s="2"/>
      <c r="Z8" s="2"/>
    </row>
    <row r="9">
      <c r="A9" s="2" t="str">
        <f>IFERROR(__xludf.DUMMYFUNCTION("""COMPUTED_VALUE"""),"Dryland Desert")</f>
        <v>Dryland Desert</v>
      </c>
      <c r="B9" s="2" t="str">
        <f>IFERROR(__xludf.DUMMYFUNCTION("""COMPUTED_VALUE"""),"The Largest Desert city located near the Dryland Messa known for its many markets and merchants in The Land Of Spira.")</f>
        <v>The Largest Desert city located near the Dryland Messa known for its many markets and merchants in The Land Of Spira.</v>
      </c>
      <c r="C9" s="2" t="str">
        <f>IFERROR(__xludf.DUMMYFUNCTION("""COMPUTED_VALUE"""),"Land of Spira")</f>
        <v>Land of Spira</v>
      </c>
      <c r="D9" s="2"/>
      <c r="E9" s="16">
        <f>IFERROR(__xludf.DUMMYFUNCTION("""COMPUTED_VALUE"""),1.0E9)</f>
        <v>1000000000</v>
      </c>
      <c r="F9" s="2" t="str">
        <f>IFERROR(__xludf.DUMMYFUNCTION("""COMPUTED_VALUE"""),"Gilder")</f>
        <v>Gilder</v>
      </c>
      <c r="G9" s="2"/>
      <c r="H9" s="2"/>
      <c r="I9" s="2"/>
      <c r="J9" s="2"/>
      <c r="K9" s="2"/>
      <c r="L9" s="2"/>
      <c r="M9" s="2"/>
      <c r="N9" s="2"/>
      <c r="O9" s="2"/>
      <c r="P9" s="2"/>
      <c r="Q9" s="2"/>
      <c r="R9" s="2"/>
      <c r="S9" s="2"/>
      <c r="T9" s="2"/>
      <c r="U9" s="2"/>
      <c r="V9" s="2"/>
      <c r="W9" s="2"/>
      <c r="X9" s="2"/>
      <c r="Y9" s="2"/>
      <c r="Z9" s="2"/>
    </row>
    <row r="10">
      <c r="A10" s="2" t="str">
        <f>IFERROR(__xludf.DUMMYFUNCTION("""COMPUTED_VALUE"""),"Dryland Mesa")</f>
        <v>Dryland Mesa</v>
      </c>
      <c r="B10" s="2" t="str">
        <f>IFERROR(__xludf.DUMMYFUNCTION("""COMPUTED_VALUE"""),"Centuries ago, when portals between dimensions cracked open, explorers and pioneers from different corners of Spira found themselves drawn to a vast, arid plateau. The convergence of ley lines and magical currents in this region created an unstable but po"&amp;"tent magical nexus. This nexus not only attracted settlers but also infused the land with an otherworldly aura, turning it into a place where reality and magic coexist in intriguing ways.
The first inhabitants, led by a charismatic adventurer named Syl"&amp;"as Emberwind, were enchanted by the untapped potential of the magical energies emanating from the mesa. Sylas, a skilled mage with a love for exploration, recognized the opportunity to create a haven where magic-users and non-magic folk could coexist harm"&amp;"oniously. With the help of earth and fire magic, he shaped the terrain, conjuring structures from the very rocks of the mesa to establish Dryland Mesa.
The town flourished as a melting pot of cultures, attracting spellcasters and gunslingers alike. The"&amp;" magical aura of the mesa influenced the development of peculiar enchantments, such as levitating boardwalks and self-watering crops that sustained the community in the arid environment. In this mystical wild west, saloons coexisted with arcane academies,"&amp;" and the local sheriff might be just as skilled with a wand as with a six-shooter.
As the town prospered, so did the interest of magical scholars and explorers seeking to unlock the secrets of the unique magical convergence. However, the potent energie"&amp;"s also drew the attention of mystical creatures and nefarious entities from the outskirts of Spira. The settlers had to learn to defend themselves not only against bandits but also against magical anomalies and creatures that slipped through the magical r"&amp;"ifts.
In the present day, Dryland Mesa stands as a testament to the resilience of its inhabitants. The streets are a lively blend of enchantment and grit, where cowboys and sorcerers share tales over enchanted beverages in saloons that never close. The"&amp;" mesa's magical aura continues to attract both dreamers and those seeking the untapped mysteries of the magical wild west. The town remains a beacon of adventure and danger, a place where the line between the mundane and the magical is as thin as the swir"&amp;"ling dust on its enchanting streets.")</f>
        <v>Centuries ago, when portals between dimensions cracked open, explorers and pioneers from different corners of Spira found themselves drawn to a vast, arid plateau. The convergence of ley lines and magical currents in this region created an unstable but potent magical nexus. This nexus not only attracted settlers but also infused the land with an otherworldly aura, turning it into a place where reality and magic coexist in intriguing ways.
The first inhabitants, led by a charismatic adventurer named Sylas Emberwind, were enchanted by the untapped potential of the magical energies emanating from the mesa. Sylas, a skilled mage with a love for exploration, recognized the opportunity to create a haven where magic-users and non-magic folk could coexist harmoniously. With the help of earth and fire magic, he shaped the terrain, conjuring structures from the very rocks of the mesa to establish Dryland Mesa.
The town flourished as a melting pot of cultures, attracting spellcasters and gunslingers alike. The magical aura of the mesa influenced the development of peculiar enchantments, such as levitating boardwalks and self-watering crops that sustained the community in the arid environment. In this mystical wild west, saloons coexisted with arcane academies, and the local sheriff might be just as skilled with a wand as with a six-shooter.
As the town prospered, so did the interest of magical scholars and explorers seeking to unlock the secrets of the unique magical convergence. However, the potent energies also drew the attention of mystical creatures and nefarious entities from the outskirts of Spira. The settlers had to learn to defend themselves not only against bandits but also against magical anomalies and creatures that slipped through the magical rifts.
In the present day, Dryland Mesa stands as a testament to the resilience of its inhabitants. The streets are a lively blend of enchantment and grit, where cowboys and sorcerers share tales over enchanted beverages in saloons that never close. The mesa's magical aura continues to attract both dreamers and those seeking the untapped mysteries of the magical wild west. The town remains a beacon of adventure and danger, a place where the line between the mundane and the magical is as thin as the swirling dust on its enchanting streets.</v>
      </c>
      <c r="C10" s="2" t="str">
        <f>IFERROR(__xludf.DUMMYFUNCTION("""COMPUTED_VALUE"""),"Land of Spira")</f>
        <v>Land of Spira</v>
      </c>
      <c r="D10" s="2"/>
      <c r="E10" s="16">
        <f>IFERROR(__xludf.DUMMYFUNCTION("""COMPUTED_VALUE"""),1.0E9)</f>
        <v>1000000000</v>
      </c>
      <c r="F10" s="2" t="str">
        <f>IFERROR(__xludf.DUMMYFUNCTION("""COMPUTED_VALUE"""),"Gilder")</f>
        <v>Gilder</v>
      </c>
      <c r="G10" s="2"/>
      <c r="H10" s="2"/>
      <c r="I10" s="2"/>
      <c r="J10" s="2"/>
      <c r="K10" s="2"/>
      <c r="L10" s="2"/>
      <c r="M10" s="2"/>
      <c r="N10" s="2"/>
      <c r="O10" s="2"/>
      <c r="P10" s="2"/>
      <c r="Q10" s="2"/>
      <c r="R10" s="2"/>
      <c r="S10" s="2"/>
      <c r="T10" s="2"/>
      <c r="U10" s="2"/>
      <c r="V10" s="2"/>
      <c r="W10" s="2"/>
      <c r="X10" s="2"/>
      <c r="Y10" s="2"/>
      <c r="Z10" s="2"/>
    </row>
    <row r="11">
      <c r="A11" s="2" t="str">
        <f>IFERROR(__xludf.DUMMYFUNCTION("""COMPUTED_VALUE"""),"Fertile Plains")</f>
        <v>Fertile Plains</v>
      </c>
      <c r="B11" s="2" t="str">
        <f>IFERROR(__xludf.DUMMYFUNCTION("""COMPUTED_VALUE"""),"A long patch of land connected to Zhenmay where farmers grow crops to supply Zhenmay with fresh fruits and vegatables.")</f>
        <v>A long patch of land connected to Zhenmay where farmers grow crops to supply Zhenmay with fresh fruits and vegatables.</v>
      </c>
      <c r="C11" s="2" t="str">
        <f>IFERROR(__xludf.DUMMYFUNCTION("""COMPUTED_VALUE"""),"Land of Spira")</f>
        <v>Land of Spira</v>
      </c>
      <c r="D11" s="2"/>
      <c r="E11" s="16">
        <f>IFERROR(__xludf.DUMMYFUNCTION("""COMPUTED_VALUE"""),1.03E9)</f>
        <v>1030000000</v>
      </c>
      <c r="F11" s="2" t="str">
        <f>IFERROR(__xludf.DUMMYFUNCTION("""COMPUTED_VALUE"""),"Gilder")</f>
        <v>Gilder</v>
      </c>
      <c r="G11" s="2"/>
      <c r="H11" s="2"/>
      <c r="I11" s="2"/>
      <c r="J11" s="2"/>
      <c r="K11" s="2"/>
      <c r="L11" s="2"/>
      <c r="M11" s="2"/>
      <c r="N11" s="2"/>
      <c r="O11" s="2"/>
      <c r="P11" s="2"/>
      <c r="Q11" s="2"/>
      <c r="R11" s="2"/>
      <c r="S11" s="2"/>
      <c r="T11" s="2"/>
      <c r="U11" s="2"/>
      <c r="V11" s="2"/>
      <c r="W11" s="2"/>
      <c r="X11" s="2"/>
      <c r="Y11" s="2"/>
      <c r="Z11" s="2"/>
    </row>
    <row r="12">
      <c r="A12" s="2" t="str">
        <f>IFERROR(__xludf.DUMMYFUNCTION("""COMPUTED_VALUE"""),"Fire Tiki Mountain")</f>
        <v>Fire Tiki Mountain</v>
      </c>
      <c r="B12" s="2" t="str">
        <f>IFERROR(__xludf.DUMMYFUNCTION("""COMPUTED_VALUE"""),"Fire Tiki Mountain is an active volcano which houses Fire Tiki Fortress. Natives say to never disturb the Fortress otherwise you will be cursed by the shamans that lie within it")</f>
        <v>Fire Tiki Mountain is an active volcano which houses Fire Tiki Fortress. Natives say to never disturb the Fortress otherwise you will be cursed by the shamans that lie within it</v>
      </c>
      <c r="C12" s="2" t="str">
        <f>IFERROR(__xludf.DUMMYFUNCTION("""COMPUTED_VALUE"""),"Land of Spira")</f>
        <v>Land of Spira</v>
      </c>
      <c r="D12" s="2"/>
      <c r="E12" s="16">
        <f>IFERROR(__xludf.DUMMYFUNCTION("""COMPUTED_VALUE"""),1.0E9)</f>
        <v>1000000000</v>
      </c>
      <c r="F12" s="2" t="str">
        <f>IFERROR(__xludf.DUMMYFUNCTION("""COMPUTED_VALUE"""),"Gilder")</f>
        <v>Gilder</v>
      </c>
      <c r="G12" s="2"/>
      <c r="H12" s="2"/>
      <c r="I12" s="2"/>
      <c r="J12" s="2"/>
      <c r="K12" s="2"/>
      <c r="L12" s="2"/>
      <c r="M12" s="2"/>
      <c r="N12" s="2"/>
      <c r="O12" s="2"/>
      <c r="P12" s="2"/>
      <c r="Q12" s="2"/>
      <c r="R12" s="2"/>
      <c r="S12" s="2"/>
      <c r="T12" s="2"/>
      <c r="U12" s="2"/>
      <c r="V12" s="2"/>
      <c r="W12" s="2"/>
      <c r="X12" s="2"/>
      <c r="Y12" s="2"/>
      <c r="Z12" s="2"/>
    </row>
    <row r="13">
      <c r="A13" s="2" t="str">
        <f>IFERROR(__xludf.DUMMYFUNCTION("""COMPUTED_VALUE"""),"Forest View")</f>
        <v>Forest View</v>
      </c>
      <c r="B13" s="2" t="str">
        <f>IFERROR(__xludf.DUMMYFUNCTION("""COMPUTED_VALUE"""),"A forest like city almost everyone wants to set on fire.")</f>
        <v>A forest like city almost everyone wants to set on fire.</v>
      </c>
      <c r="C13" s="2" t="str">
        <f>IFERROR(__xludf.DUMMYFUNCTION("""COMPUTED_VALUE"""),"Land of Spira")</f>
        <v>Land of Spira</v>
      </c>
      <c r="D13" s="2"/>
      <c r="E13" s="16">
        <f>IFERROR(__xludf.DUMMYFUNCTION("""COMPUTED_VALUE"""),1.0511E9)</f>
        <v>1051100000</v>
      </c>
      <c r="F13" s="2" t="str">
        <f>IFERROR(__xludf.DUMMYFUNCTION("""COMPUTED_VALUE"""),"Gilder")</f>
        <v>Gilder</v>
      </c>
      <c r="G13" s="2"/>
      <c r="H13" s="2"/>
      <c r="I13" s="2"/>
      <c r="J13" s="2"/>
      <c r="K13" s="2"/>
      <c r="L13" s="2"/>
      <c r="M13" s="2"/>
      <c r="N13" s="2"/>
      <c r="O13" s="2"/>
      <c r="P13" s="2"/>
      <c r="Q13" s="2"/>
      <c r="R13" s="2"/>
      <c r="S13" s="2"/>
      <c r="T13" s="2"/>
      <c r="U13" s="2"/>
      <c r="V13" s="2"/>
      <c r="W13" s="2"/>
      <c r="X13" s="2"/>
      <c r="Y13" s="2"/>
      <c r="Z13" s="2"/>
    </row>
    <row r="14">
      <c r="A14" s="2"/>
      <c r="B14" s="2"/>
      <c r="C14" s="2"/>
      <c r="D14" s="2"/>
      <c r="E14" s="2"/>
      <c r="F14" s="2" t="str">
        <f>IFERROR(__xludf.DUMMYFUNCTION("""COMPUTED_VALUE"""),"Gilder")</f>
        <v>Gilder</v>
      </c>
      <c r="G14" s="2"/>
      <c r="H14" s="2"/>
      <c r="I14" s="2"/>
      <c r="J14" s="2"/>
      <c r="K14" s="2"/>
      <c r="L14" s="2"/>
      <c r="M14" s="2"/>
      <c r="N14" s="2"/>
      <c r="O14" s="2"/>
      <c r="P14" s="2"/>
      <c r="Q14" s="2"/>
      <c r="R14" s="2"/>
      <c r="S14" s="2"/>
      <c r="T14" s="2"/>
      <c r="U14" s="2"/>
      <c r="V14" s="2"/>
      <c r="W14" s="2"/>
      <c r="X14" s="2"/>
      <c r="Y14" s="2"/>
      <c r="Z14" s="2"/>
    </row>
    <row r="15">
      <c r="A15" s="2" t="str">
        <f>IFERROR(__xludf.DUMMYFUNCTION("""COMPUTED_VALUE"""),"Foul Night Swamp")</f>
        <v>Foul Night Swamp</v>
      </c>
      <c r="B15" s="2" t="str">
        <f>IFERROR(__xludf.DUMMYFUNCTION("""COMPUTED_VALUE"""),"Boadreing Hallowtown, Wildwood, and Docile Plains, Is the Foul Night Swamp, Full of Darkness and Mystery.")</f>
        <v>Boadreing Hallowtown, Wildwood, and Docile Plains, Is the Foul Night Swamp, Full of Darkness and Mystery.</v>
      </c>
      <c r="C15" s="2" t="str">
        <f>IFERROR(__xludf.DUMMYFUNCTION("""COMPUTED_VALUE"""),"Land of Spira")</f>
        <v>Land of Spira</v>
      </c>
      <c r="D15" s="2"/>
      <c r="E15" s="16">
        <f>IFERROR(__xludf.DUMMYFUNCTION("""COMPUTED_VALUE"""),2.0235E9)</f>
        <v>2023500000</v>
      </c>
      <c r="F15" s="2" t="str">
        <f>IFERROR(__xludf.DUMMYFUNCTION("""COMPUTED_VALUE"""),"Gilder")</f>
        <v>Gilder</v>
      </c>
      <c r="G15" s="2"/>
      <c r="H15" s="2"/>
      <c r="I15" s="2"/>
      <c r="J15" s="2"/>
      <c r="K15" s="2"/>
      <c r="L15" s="2"/>
      <c r="M15" s="2"/>
      <c r="N15" s="2"/>
      <c r="O15" s="2"/>
      <c r="P15" s="2"/>
      <c r="Q15" s="2"/>
      <c r="R15" s="2"/>
      <c r="S15" s="2"/>
      <c r="T15" s="2"/>
      <c r="U15" s="2"/>
      <c r="V15" s="2"/>
      <c r="W15" s="2"/>
      <c r="X15" s="2"/>
      <c r="Y15" s="2"/>
      <c r="Z15" s="2"/>
    </row>
    <row r="16">
      <c r="A16" s="2" t="str">
        <f>IFERROR(__xludf.DUMMYFUNCTION("""COMPUTED_VALUE"""),"Northern Frozen Terrain")</f>
        <v>Northern Frozen Terrain</v>
      </c>
      <c r="B16" s="2" t="str">
        <f>IFERROR(__xludf.DUMMYFUNCTION("""COMPUTED_VALUE"""),"The Northern, Western, and Eastern frozen terrains were once seperate from The Land Of Spira, One day the Lord Of Spira went to the Northern frozen terrain with a treaty which was accepted by the king and queen of the frozen terrains to become one with th"&amp;"e land of spira.")</f>
        <v>The Northern, Western, and Eastern frozen terrains were once seperate from The Land Of Spira, One day the Lord Of Spira went to the Northern frozen terrain with a treaty which was accepted by the king and queen of the frozen terrains to become one with the land of spira.</v>
      </c>
      <c r="C16" s="2" t="str">
        <f>IFERROR(__xludf.DUMMYFUNCTION("""COMPUTED_VALUE"""),"Land of Spira")</f>
        <v>Land of Spira</v>
      </c>
      <c r="D16" s="2"/>
      <c r="E16" s="16">
        <f>IFERROR(__xludf.DUMMYFUNCTION("""COMPUTED_VALUE"""),1.0E9)</f>
        <v>1000000000</v>
      </c>
      <c r="F16" s="2" t="str">
        <f>IFERROR(__xludf.DUMMYFUNCTION("""COMPUTED_VALUE"""),"Gilder")</f>
        <v>Gilder</v>
      </c>
      <c r="G16" s="2"/>
      <c r="H16" s="2"/>
      <c r="I16" s="2"/>
      <c r="J16" s="2"/>
      <c r="K16" s="2"/>
      <c r="L16" s="2"/>
      <c r="M16" s="2"/>
      <c r="N16" s="2"/>
      <c r="O16" s="2"/>
      <c r="P16" s="2"/>
      <c r="Q16" s="2"/>
      <c r="R16" s="2"/>
      <c r="S16" s="2"/>
      <c r="T16" s="2"/>
      <c r="U16" s="2"/>
      <c r="V16" s="2"/>
      <c r="W16" s="2"/>
      <c r="X16" s="2"/>
      <c r="Y16" s="2"/>
      <c r="Z16" s="2"/>
    </row>
    <row r="17">
      <c r="A17" s="2" t="str">
        <f>IFERROR(__xludf.DUMMYFUNCTION("""COMPUTED_VALUE"""),"Eastern Frozen Terrain")</f>
        <v>Eastern Frozen Terrain</v>
      </c>
      <c r="B17" s="2" t="str">
        <f>IFERROR(__xludf.DUMMYFUNCTION("""COMPUTED_VALUE"""),"Ruled by The King and Queen of the Northern Frozen Terrain.")</f>
        <v>Ruled by The King and Queen of the Northern Frozen Terrain.</v>
      </c>
      <c r="C17" s="2" t="str">
        <f>IFERROR(__xludf.DUMMYFUNCTION("""COMPUTED_VALUE"""),"Land of Spira")</f>
        <v>Land of Spira</v>
      </c>
      <c r="D17" s="2"/>
      <c r="E17" s="16">
        <f>IFERROR(__xludf.DUMMYFUNCTION("""COMPUTED_VALUE"""),1.0E9)</f>
        <v>1000000000</v>
      </c>
      <c r="F17" s="2" t="str">
        <f>IFERROR(__xludf.DUMMYFUNCTION("""COMPUTED_VALUE"""),"Gilder")</f>
        <v>Gilder</v>
      </c>
      <c r="G17" s="2"/>
      <c r="H17" s="2"/>
      <c r="I17" s="2"/>
      <c r="J17" s="2"/>
      <c r="K17" s="2"/>
      <c r="L17" s="2"/>
      <c r="M17" s="2"/>
      <c r="N17" s="2"/>
      <c r="O17" s="2"/>
      <c r="P17" s="2"/>
      <c r="Q17" s="2"/>
      <c r="R17" s="2"/>
      <c r="S17" s="2"/>
      <c r="T17" s="2"/>
      <c r="U17" s="2"/>
      <c r="V17" s="2"/>
      <c r="W17" s="2"/>
      <c r="X17" s="2"/>
      <c r="Y17" s="2"/>
      <c r="Z17" s="2"/>
    </row>
    <row r="18">
      <c r="A18" s="2" t="str">
        <f>IFERROR(__xludf.DUMMYFUNCTION("""COMPUTED_VALUE"""),"Western Frozen Terrain")</f>
        <v>Western Frozen Terrain</v>
      </c>
      <c r="B18" s="2" t="str">
        <f>IFERROR(__xludf.DUMMYFUNCTION("""COMPUTED_VALUE"""),"Ruled by The King and Queen of the Northern Frozen Terrain.")</f>
        <v>Ruled by The King and Queen of the Northern Frozen Terrain.</v>
      </c>
      <c r="C18" s="2" t="str">
        <f>IFERROR(__xludf.DUMMYFUNCTION("""COMPUTED_VALUE"""),"Land of Spira")</f>
        <v>Land of Spira</v>
      </c>
      <c r="D18" s="2"/>
      <c r="E18" s="16">
        <f>IFERROR(__xludf.DUMMYFUNCTION("""COMPUTED_VALUE"""),1.0E9)</f>
        <v>1000000000</v>
      </c>
      <c r="F18" s="2" t="str">
        <f>IFERROR(__xludf.DUMMYFUNCTION("""COMPUTED_VALUE"""),"Gilder")</f>
        <v>Gilder</v>
      </c>
      <c r="G18" s="2"/>
      <c r="H18" s="2"/>
      <c r="I18" s="2"/>
      <c r="J18" s="2"/>
      <c r="K18" s="2"/>
      <c r="L18" s="2"/>
      <c r="M18" s="2"/>
      <c r="N18" s="2"/>
      <c r="O18" s="2"/>
      <c r="P18" s="2"/>
      <c r="Q18" s="2"/>
      <c r="R18" s="2"/>
      <c r="S18" s="2"/>
      <c r="T18" s="2"/>
      <c r="U18" s="2"/>
      <c r="V18" s="2"/>
      <c r="W18" s="2"/>
      <c r="X18" s="2"/>
      <c r="Y18" s="2"/>
      <c r="Z18" s="2"/>
    </row>
    <row r="19">
      <c r="A19" s="2" t="str">
        <f>IFERROR(__xludf.DUMMYFUNCTION("""COMPUTED_VALUE"""),"Frozen Forest (Southern Frozen Terrain)")</f>
        <v>Frozen Forest (Southern Frozen Terrain)</v>
      </c>
      <c r="B19" s="2" t="str">
        <f>IFERROR(__xludf.DUMMYFUNCTION("""COMPUTED_VALUE"""),"A mystical frozen forest with a small city in the center Ruled by the queen of the frozen forest.")</f>
        <v>A mystical frozen forest with a small city in the center Ruled by the queen of the frozen forest.</v>
      </c>
      <c r="C19" s="2" t="str">
        <f>IFERROR(__xludf.DUMMYFUNCTION("""COMPUTED_VALUE"""),"Land of Spira")</f>
        <v>Land of Spira</v>
      </c>
      <c r="D19" s="2"/>
      <c r="E19" s="16">
        <f>IFERROR(__xludf.DUMMYFUNCTION("""COMPUTED_VALUE"""),1.0E9)</f>
        <v>1000000000</v>
      </c>
      <c r="F19" s="2" t="str">
        <f>IFERROR(__xludf.DUMMYFUNCTION("""COMPUTED_VALUE"""),"Gilder")</f>
        <v>Gilder</v>
      </c>
      <c r="G19" s="2"/>
      <c r="H19" s="2"/>
      <c r="I19" s="2"/>
      <c r="J19" s="2"/>
      <c r="K19" s="2"/>
      <c r="L19" s="2"/>
      <c r="M19" s="2"/>
      <c r="N19" s="2"/>
      <c r="O19" s="2"/>
      <c r="P19" s="2"/>
      <c r="Q19" s="2"/>
      <c r="R19" s="2"/>
      <c r="S19" s="2"/>
      <c r="T19" s="2"/>
      <c r="U19" s="2"/>
      <c r="V19" s="2"/>
      <c r="W19" s="2"/>
      <c r="X19" s="2"/>
      <c r="Y19" s="2"/>
      <c r="Z19" s="2"/>
    </row>
    <row r="20">
      <c r="A20" s="2" t="str">
        <f>IFERROR(__xludf.DUMMYFUNCTION("""COMPUTED_VALUE"""),"Hallowtown ")</f>
        <v>Hallowtown </v>
      </c>
      <c r="B20" s="2" t="str">
        <f>IFERROR(__xludf.DUMMYFUNCTION("""COMPUTED_VALUE"""),"A small and creepy town where a lot of people travel to celebrate halloween. Its said a young fellow named Nick came up with the word ""Spooky"" here before the town was founded.")</f>
        <v>A small and creepy town where a lot of people travel to celebrate halloween. Its said a young fellow named Nick came up with the word "Spooky" here before the town was founded.</v>
      </c>
      <c r="C20" s="2" t="str">
        <f>IFERROR(__xludf.DUMMYFUNCTION("""COMPUTED_VALUE"""),"Land of Spira")</f>
        <v>Land of Spira</v>
      </c>
      <c r="D20" s="2"/>
      <c r="E20" s="16">
        <f>IFERROR(__xludf.DUMMYFUNCTION("""COMPUTED_VALUE"""),1.05001E9)</f>
        <v>1050010000</v>
      </c>
      <c r="F20" s="2" t="str">
        <f>IFERROR(__xludf.DUMMYFUNCTION("""COMPUTED_VALUE"""),"Gilder")</f>
        <v>Gilder</v>
      </c>
      <c r="G20" s="2"/>
      <c r="H20" s="2"/>
      <c r="I20" s="2"/>
      <c r="J20" s="2"/>
      <c r="K20" s="2"/>
      <c r="L20" s="2"/>
      <c r="M20" s="2"/>
      <c r="N20" s="2"/>
      <c r="O20" s="2"/>
      <c r="P20" s="2"/>
      <c r="Q20" s="2"/>
      <c r="R20" s="2"/>
      <c r="S20" s="2"/>
      <c r="T20" s="2"/>
      <c r="U20" s="2"/>
      <c r="V20" s="2"/>
      <c r="W20" s="2"/>
      <c r="X20" s="2"/>
      <c r="Y20" s="2"/>
      <c r="Z20" s="2"/>
    </row>
    <row r="21">
      <c r="A21" s="2" t="str">
        <f>IFERROR(__xludf.DUMMYFUNCTION("""COMPUTED_VALUE"""),"Heatmore Jungle")</f>
        <v>Heatmore Jungle</v>
      </c>
      <c r="B21" s="2" t="str">
        <f>IFERROR(__xludf.DUMMYFUNCTION("""COMPUTED_VALUE"""),"A jungle engulfed in flames containing Fire Tiki Mountain within it. ")</f>
        <v>A jungle engulfed in flames containing Fire Tiki Mountain within it. </v>
      </c>
      <c r="C21" s="2" t="str">
        <f>IFERROR(__xludf.DUMMYFUNCTION("""COMPUTED_VALUE"""),"Land of Spira")</f>
        <v>Land of Spira</v>
      </c>
      <c r="D21" s="2"/>
      <c r="E21" s="16">
        <f>IFERROR(__xludf.DUMMYFUNCTION("""COMPUTED_VALUE"""),1.0E9)</f>
        <v>1000000000</v>
      </c>
      <c r="F21" s="2" t="str">
        <f>IFERROR(__xludf.DUMMYFUNCTION("""COMPUTED_VALUE"""),"Gilder")</f>
        <v>Gilder</v>
      </c>
      <c r="G21" s="2"/>
      <c r="H21" s="2"/>
      <c r="I21" s="2"/>
      <c r="J21" s="2"/>
      <c r="K21" s="2"/>
      <c r="L21" s="2"/>
      <c r="M21" s="2"/>
      <c r="N21" s="2"/>
      <c r="O21" s="2"/>
      <c r="P21" s="2"/>
      <c r="Q21" s="2"/>
      <c r="R21" s="2"/>
      <c r="S21" s="2"/>
      <c r="T21" s="2"/>
      <c r="U21" s="2"/>
      <c r="V21" s="2"/>
      <c r="W21" s="2"/>
      <c r="X21" s="2"/>
      <c r="Y21" s="2"/>
      <c r="Z21" s="2"/>
    </row>
    <row r="22">
      <c r="A22" s="2" t="str">
        <f>IFERROR(__xludf.DUMMYFUNCTION("""COMPUTED_VALUE"""),"Jungle Of Miss Direction")</f>
        <v>Jungle Of Miss Direction</v>
      </c>
      <c r="B22" s="2" t="str">
        <f>IFERROR(__xludf.DUMMYFUNCTION("""COMPUTED_VALUE"""),"The Most Damgerous Jungle in the land of Spira, Not for its casualties but due to how many people went missing here. It's said that one person deleted there character sheet because they couldn't get out.")</f>
        <v>The Most Damgerous Jungle in the land of Spira, Not for its casualties but due to how many people went missing here. It's said that one person deleted there character sheet because they couldn't get out.</v>
      </c>
      <c r="C22" s="2" t="str">
        <f>IFERROR(__xludf.DUMMYFUNCTION("""COMPUTED_VALUE"""),"Land of Spira")</f>
        <v>Land of Spira</v>
      </c>
      <c r="D22" s="2"/>
      <c r="E22" s="16">
        <f>IFERROR(__xludf.DUMMYFUNCTION("""COMPUTED_VALUE"""),1.0E9)</f>
        <v>1000000000</v>
      </c>
      <c r="F22" s="2" t="str">
        <f>IFERROR(__xludf.DUMMYFUNCTION("""COMPUTED_VALUE"""),"Gilder")</f>
        <v>Gilder</v>
      </c>
      <c r="G22" s="2"/>
      <c r="H22" s="2"/>
      <c r="I22" s="2"/>
      <c r="J22" s="2"/>
      <c r="K22" s="2"/>
      <c r="L22" s="2"/>
      <c r="M22" s="2"/>
      <c r="N22" s="2"/>
      <c r="O22" s="2"/>
      <c r="P22" s="2"/>
      <c r="Q22" s="2"/>
      <c r="R22" s="2"/>
      <c r="S22" s="2"/>
      <c r="T22" s="2"/>
      <c r="U22" s="2"/>
      <c r="V22" s="2"/>
      <c r="W22" s="2"/>
      <c r="X22" s="2"/>
      <c r="Y22" s="2"/>
      <c r="Z22" s="2"/>
    </row>
    <row r="23">
      <c r="A23" s="2" t="str">
        <f>IFERROR(__xludf.DUMMYFUNCTION("""COMPUTED_VALUE"""),"Jungle Of Shadows")</f>
        <v>Jungle Of Shadows</v>
      </c>
      <c r="B23" s="2" t="str">
        <f>IFERROR(__xludf.DUMMYFUNCTION("""COMPUTED_VALUE"""),"A jungle that is said to have swallowed shipments of items as well as actual people that have never been found.")</f>
        <v>A jungle that is said to have swallowed shipments of items as well as actual people that have never been found.</v>
      </c>
      <c r="C23" s="2" t="str">
        <f>IFERROR(__xludf.DUMMYFUNCTION("""COMPUTED_VALUE"""),"Land of Spira")</f>
        <v>Land of Spira</v>
      </c>
      <c r="D23" s="2"/>
      <c r="E23" s="16">
        <f>IFERROR(__xludf.DUMMYFUNCTION("""COMPUTED_VALUE"""),1.0E9)</f>
        <v>1000000000</v>
      </c>
      <c r="F23" s="2" t="str">
        <f>IFERROR(__xludf.DUMMYFUNCTION("""COMPUTED_VALUE"""),"Gilder")</f>
        <v>Gilder</v>
      </c>
      <c r="G23" s="2"/>
      <c r="H23" s="2"/>
      <c r="I23" s="2"/>
      <c r="J23" s="2"/>
      <c r="K23" s="2"/>
      <c r="L23" s="2"/>
      <c r="M23" s="2"/>
      <c r="N23" s="2"/>
      <c r="O23" s="2"/>
      <c r="P23" s="2"/>
      <c r="Q23" s="2"/>
      <c r="R23" s="2"/>
      <c r="S23" s="2"/>
      <c r="T23" s="2"/>
      <c r="U23" s="2"/>
      <c r="V23" s="2"/>
      <c r="W23" s="2"/>
      <c r="X23" s="2"/>
      <c r="Y23" s="2"/>
      <c r="Z23" s="2"/>
    </row>
    <row r="24">
      <c r="A24" s="2" t="str">
        <f>IFERROR(__xludf.DUMMYFUNCTION("""COMPUTED_VALUE"""),"Lake Town")</f>
        <v>Lake Town</v>
      </c>
      <c r="B24" s="2" t="str">
        <f>IFERROR(__xludf.DUMMYFUNCTION("""COMPUTED_VALUE"""),"A fishemans town where people come to buy and sell all sorts of different fish.")</f>
        <v>A fishemans town where people come to buy and sell all sorts of different fish.</v>
      </c>
      <c r="C24" s="2" t="str">
        <f>IFERROR(__xludf.DUMMYFUNCTION("""COMPUTED_VALUE"""),"Land of Spira")</f>
        <v>Land of Spira</v>
      </c>
      <c r="D24" s="2"/>
      <c r="E24" s="16">
        <f>IFERROR(__xludf.DUMMYFUNCTION("""COMPUTED_VALUE"""),1.0012E9)</f>
        <v>1001200000</v>
      </c>
      <c r="F24" s="2" t="str">
        <f>IFERROR(__xludf.DUMMYFUNCTION("""COMPUTED_VALUE"""),"Gilder")</f>
        <v>Gilder</v>
      </c>
      <c r="G24" s="2"/>
      <c r="H24" s="2"/>
      <c r="I24" s="2"/>
      <c r="J24" s="2"/>
      <c r="K24" s="2"/>
      <c r="L24" s="2"/>
      <c r="M24" s="2"/>
      <c r="N24" s="2"/>
      <c r="O24" s="2"/>
      <c r="P24" s="2"/>
      <c r="Q24" s="2"/>
      <c r="R24" s="2"/>
      <c r="S24" s="2"/>
      <c r="T24" s="2"/>
      <c r="U24" s="2"/>
      <c r="V24" s="2"/>
      <c r="W24" s="2"/>
      <c r="X24" s="2"/>
      <c r="Y24" s="2"/>
      <c r="Z24" s="2"/>
    </row>
    <row r="25">
      <c r="A25" s="2" t="str">
        <f>IFERROR(__xludf.DUMMYFUNCTION("""COMPUTED_VALUE"""),"Mekana")</f>
        <v>Mekana</v>
      </c>
      <c r="B25" s="2" t="str">
        <f>IFERROR(__xludf.DUMMYFUNCTION("""COMPUTED_VALUE"""),"Home to the Mekanians and Their Creator, A Steampunk like city filled with futuristic contraptions.")</f>
        <v>Home to the Mekanians and Their Creator, A Steampunk like city filled with futuristic contraptions.</v>
      </c>
      <c r="C25" s="2" t="str">
        <f>IFERROR(__xludf.DUMMYFUNCTION("""COMPUTED_VALUE"""),"Land of Spira")</f>
        <v>Land of Spira</v>
      </c>
      <c r="D25" s="2"/>
      <c r="E25" s="16">
        <f>IFERROR(__xludf.DUMMYFUNCTION("""COMPUTED_VALUE"""),1.05657E9)</f>
        <v>1056570000</v>
      </c>
      <c r="F25" s="2" t="str">
        <f>IFERROR(__xludf.DUMMYFUNCTION("""COMPUTED_VALUE"""),"Gilder")</f>
        <v>Gilder</v>
      </c>
      <c r="G25" s="2"/>
      <c r="H25" s="2"/>
      <c r="I25" s="2"/>
      <c r="J25" s="2"/>
      <c r="K25" s="2"/>
      <c r="L25" s="2"/>
      <c r="M25" s="2"/>
      <c r="N25" s="2"/>
      <c r="O25" s="2"/>
      <c r="P25" s="2"/>
      <c r="Q25" s="2"/>
      <c r="R25" s="2"/>
      <c r="S25" s="2"/>
      <c r="T25" s="2"/>
      <c r="U25" s="2"/>
      <c r="V25" s="2"/>
      <c r="W25" s="2"/>
      <c r="X25" s="2"/>
      <c r="Y25" s="2"/>
      <c r="Z25" s="2"/>
    </row>
    <row r="26">
      <c r="A26" s="2" t="str">
        <f>IFERROR(__xludf.DUMMYFUNCTION("""COMPUTED_VALUE"""),"Mountains Of Peace And Harmony")</f>
        <v>Mountains Of Peace And Harmony</v>
      </c>
      <c r="B26" s="2" t="str">
        <f>IFERROR(__xludf.DUMMYFUNCTION("""COMPUTED_VALUE"""),"A peacful mountain range that rests between lake Town and Civille.")</f>
        <v>A peacful mountain range that rests between lake Town and Civille.</v>
      </c>
      <c r="C26" s="2" t="str">
        <f>IFERROR(__xludf.DUMMYFUNCTION("""COMPUTED_VALUE"""),"Land of Spira")</f>
        <v>Land of Spira</v>
      </c>
      <c r="D26" s="2"/>
      <c r="E26" s="16">
        <f>IFERROR(__xludf.DUMMYFUNCTION("""COMPUTED_VALUE"""),1.0E9)</f>
        <v>1000000000</v>
      </c>
      <c r="F26" s="2" t="str">
        <f>IFERROR(__xludf.DUMMYFUNCTION("""COMPUTED_VALUE"""),"Gilder")</f>
        <v>Gilder</v>
      </c>
      <c r="G26" s="2"/>
      <c r="H26" s="2"/>
      <c r="I26" s="2"/>
      <c r="J26" s="2"/>
      <c r="K26" s="2"/>
      <c r="L26" s="2"/>
      <c r="M26" s="2"/>
      <c r="N26" s="2"/>
      <c r="O26" s="2"/>
      <c r="P26" s="2"/>
      <c r="Q26" s="2"/>
      <c r="R26" s="2"/>
      <c r="S26" s="2"/>
      <c r="T26" s="2"/>
      <c r="U26" s="2"/>
      <c r="V26" s="2"/>
      <c r="W26" s="2"/>
      <c r="X26" s="2"/>
      <c r="Y26" s="2"/>
      <c r="Z26" s="2"/>
    </row>
    <row r="27">
      <c r="A27" s="2" t="str">
        <f>IFERROR(__xludf.DUMMYFUNCTION("""COMPUTED_VALUE"""),"Mt. Fury (Locked)")</f>
        <v>Mt. Fury (Locked)</v>
      </c>
      <c r="B27" s="2" t="str">
        <f>IFERROR(__xludf.DUMMYFUNCTION("""COMPUTED_VALUE"""),"The Ancient Volcano Of Spira where one of the most powerful spira guardians remain.  Do not wake the beast or you will suffer its tremendous flames of suffering.")</f>
        <v>The Ancient Volcano Of Spira where one of the most powerful spira guardians remain.  Do not wake the beast or you will suffer its tremendous flames of suffering.</v>
      </c>
      <c r="C27" s="2" t="str">
        <f>IFERROR(__xludf.DUMMYFUNCTION("""COMPUTED_VALUE"""),"Land of Spira")</f>
        <v>Land of Spira</v>
      </c>
      <c r="D27" s="2"/>
      <c r="E27" s="16">
        <f>IFERROR(__xludf.DUMMYFUNCTION("""COMPUTED_VALUE"""),1.0E9)</f>
        <v>1000000000</v>
      </c>
      <c r="F27" s="2" t="str">
        <f>IFERROR(__xludf.DUMMYFUNCTION("""COMPUTED_VALUE"""),"Gilder")</f>
        <v>Gilder</v>
      </c>
      <c r="G27" s="2"/>
      <c r="H27" s="2"/>
      <c r="I27" s="2"/>
      <c r="J27" s="2"/>
      <c r="K27" s="2"/>
      <c r="L27" s="2"/>
      <c r="M27" s="2"/>
      <c r="N27" s="2"/>
      <c r="O27" s="2"/>
      <c r="P27" s="2"/>
      <c r="Q27" s="2"/>
      <c r="R27" s="2"/>
      <c r="S27" s="2"/>
      <c r="T27" s="2"/>
      <c r="U27" s="2"/>
      <c r="V27" s="2"/>
      <c r="W27" s="2"/>
      <c r="X27" s="2"/>
      <c r="Y27" s="2"/>
      <c r="Z27" s="2"/>
    </row>
    <row r="28">
      <c r="A28" s="2" t="str">
        <f>IFERROR(__xludf.DUMMYFUNCTION("""COMPUTED_VALUE"""),"Pond City")</f>
        <v>Pond City</v>
      </c>
      <c r="B28" s="2" t="str">
        <f>IFERROR(__xludf.DUMMYFUNCTION("""COMPUTED_VALUE"""),"Long ago, in the heart of The Land of Spira, a mystical and serene place known as Pond City emerged from the mists of time. The city's origins are steeped in legend and myth, making it a captivating and enigmatic location for adventurers to explore.
Anci"&amp;"ent Waters and the Founding:
Pond City was founded by an ancient order of druids who revered the water element. They believed that the ponds that naturally formed in the area were sacred, imbued with the power to heal and rejuvenate. These druids, led by"&amp;" a wise and powerful archdruid named Elowen, were drawn to the tranquil energy of the land. Guided by dreams and visions, they built their city in harmony with the natural landscape, ensuring that no harm would come to the precious ponds they considered t"&amp;"he lifeblood of their community.
The Elixir of Eternal Youth:
Over the centuries, Pond City's reputation grew far and wide. Travelers, healers, and adventurers journeyed to the city to seek the wisdom of the druids and the legendary Elixir of Eternal Yo"&amp;"uth, which was rumored to be brewed from the waters of the sacred ponds. However, gaining access to this elixir was no simple task. It was said that only those who proved their worth through noble deeds and selfless acts would be granted a vial of this el"&amp;"ixir.
Rival Factions and Intrigue:
As Pond City's fame spread, it also attracted the attention of rival factions and covetous individuals who sought to control the city's resources for their own gain. The most formidable of these adversaries was the sec"&amp;"retive Shadow Syndicate, a group of rogues and spies who operated in the shadows, seeking to uncover the secrets of the elixir and use it to gain power and immortality.
The Druid Council:
To protect their city from external threats and internal strife, "&amp;"the druids established a governing body known as the Druid Council. Led by a circle of elder druids and presided over by Elowen's descendants, the council ensured the city's survival and the preservation of the sacred ponds. They maintained a delicate bal"&amp;"ance between the needs of the city's inhabitants and the sanctity of their natural surroundings.
Present-Day Pond City:
Pond City stands as a city of wonder and intrigue. Its cobblestone streets wind their way around lush ponds filled with bioluminescen"&amp;"t plants, and the ancient architecture still bears the marks of Elowen's druidic influence. The city is a hub of trade, culture, and mysticism, attracting all manner of visitors, from adventurers in search of the Elixir of Eternal Youth to scholars seekin"&amp;"g the wisdom of the druids.
However, Pond City's future is uncertain. The Shadow Syndicate's influence is growing, and tensions between factions within the city threaten to disrupt the delicate balance that has been maintained for centuries. As adventure"&amp;"rs, your players will find themselves in a city where secrets and intrigue abound, with the fate of Pond City and its sacred ponds hanging in the balance. Will they choose to protect the city's ancient traditions or exploit its mystical resources for thei"&amp;"r own gain? The choice is theirs to make as they embark on their journey through the enigmatic Pond City in The Land of Spira.")</f>
        <v>Long ago, in the heart of The Land of Spira, a mystical and serene place known as Pond City emerged from the mists of time. The city's origins are steeped in legend and myth, making it a captivating and enigmatic location for adventurers to explore.
Ancient Waters and the Founding:
Pond City was founded by an ancient order of druids who revered the water element. They believed that the ponds that naturally formed in the area were sacred, imbued with the power to heal and rejuvenate. These druids, led by a wise and powerful archdruid named Elowen, were drawn to the tranquil energy of the land. Guided by dreams and visions, they built their city in harmony with the natural landscape, ensuring that no harm would come to the precious ponds they considered the lifeblood of their community.
The Elixir of Eternal Youth:
Over the centuries, Pond City's reputation grew far and wide. Travelers, healers, and adventurers journeyed to the city to seek the wisdom of the druids and the legendary Elixir of Eternal Youth, which was rumored to be brewed from the waters of the sacred ponds. However, gaining access to this elixir was no simple task. It was said that only those who proved their worth through noble deeds and selfless acts would be granted a vial of this elixir.
Rival Factions and Intrigue:
As Pond City's fame spread, it also attracted the attention of rival factions and covetous individuals who sought to control the city's resources for their own gain. The most formidable of these adversaries was the secretive Shadow Syndicate, a group of rogues and spies who operated in the shadows, seeking to uncover the secrets of the elixir and use it to gain power and immortality.
The Druid Council:
To protect their city from external threats and internal strife, the druids established a governing body known as the Druid Council. Led by a circle of elder druids and presided over by Elowen's descendants, the council ensured the city's survival and the preservation of the sacred ponds. They maintained a delicate balance between the needs of the city's inhabitants and the sanctity of their natural surroundings.
Present-Day Pond City:
Pond City stands as a city of wonder and intrigue. Its cobblestone streets wind their way around lush ponds filled with bioluminescent plants, and the ancient architecture still bears the marks of Elowen's druidic influence. The city is a hub of trade, culture, and mysticism, attracting all manner of visitors, from adventurers in search of the Elixir of Eternal Youth to scholars seeking the wisdom of the druids.
However, Pond City's future is uncertain. The Shadow Syndicate's influence is growing, and tensions between factions within the city threaten to disrupt the delicate balance that has been maintained for centuries. As adventurers, your players will find themselves in a city where secrets and intrigue abound, with the fate of Pond City and its sacred ponds hanging in the balance. Will they choose to protect the city's ancient traditions or exploit its mystical resources for their own gain? The choice is theirs to make as they embark on their journey through the enigmatic Pond City in The Land of Spira.</v>
      </c>
      <c r="C28" s="2" t="str">
        <f>IFERROR(__xludf.DUMMYFUNCTION("""COMPUTED_VALUE"""),"Land of Spira")</f>
        <v>Land of Spira</v>
      </c>
      <c r="D28" s="2"/>
      <c r="E28" s="16">
        <f>IFERROR(__xludf.DUMMYFUNCTION("""COMPUTED_VALUE"""),1.0E9)</f>
        <v>1000000000</v>
      </c>
      <c r="F28" s="2" t="str">
        <f>IFERROR(__xludf.DUMMYFUNCTION("""COMPUTED_VALUE"""),"Gilder")</f>
        <v>Gilder</v>
      </c>
      <c r="G28" s="2"/>
      <c r="H28" s="2"/>
      <c r="I28" s="2"/>
      <c r="J28" s="2"/>
      <c r="K28" s="2"/>
      <c r="L28" s="2"/>
      <c r="M28" s="2"/>
      <c r="N28" s="2"/>
      <c r="O28" s="2"/>
      <c r="P28" s="2"/>
      <c r="Q28" s="2"/>
      <c r="R28" s="2"/>
      <c r="S28" s="2"/>
      <c r="T28" s="2"/>
      <c r="U28" s="2"/>
      <c r="V28" s="2"/>
      <c r="W28" s="2"/>
      <c r="X28" s="2"/>
      <c r="Y28" s="2"/>
      <c r="Z28" s="2"/>
    </row>
    <row r="29">
      <c r="A29" s="2" t="str">
        <f>IFERROR(__xludf.DUMMYFUNCTION("""COMPUTED_VALUE"""),"Port Fawn")</f>
        <v>Port Fawn</v>
      </c>
      <c r="B29" s="2" t="str">
        <f>IFERROR(__xludf.DUMMYFUNCTION("""COMPUTED_VALUE"""),"A harbor town south west of Forest View famous for the most imports and exports around the land of spira.")</f>
        <v>A harbor town south west of Forest View famous for the most imports and exports around the land of spira.</v>
      </c>
      <c r="C29" s="2" t="str">
        <f>IFERROR(__xludf.DUMMYFUNCTION("""COMPUTED_VALUE"""),"Land of Spira")</f>
        <v>Land of Spira</v>
      </c>
      <c r="D29" s="2"/>
      <c r="E29" s="16">
        <f>IFERROR(__xludf.DUMMYFUNCTION("""COMPUTED_VALUE"""),1.056375E9)</f>
        <v>1056375000</v>
      </c>
      <c r="F29" s="2" t="str">
        <f>IFERROR(__xludf.DUMMYFUNCTION("""COMPUTED_VALUE"""),"Gilder")</f>
        <v>Gilder</v>
      </c>
      <c r="G29" s="2"/>
      <c r="H29" s="2"/>
      <c r="I29" s="2"/>
      <c r="J29" s="2"/>
      <c r="K29" s="2"/>
      <c r="L29" s="2"/>
      <c r="M29" s="2"/>
      <c r="N29" s="2"/>
      <c r="O29" s="2"/>
      <c r="P29" s="2"/>
      <c r="Q29" s="2"/>
      <c r="R29" s="2"/>
      <c r="S29" s="2"/>
      <c r="T29" s="2"/>
      <c r="U29" s="2"/>
      <c r="V29" s="2"/>
      <c r="W29" s="2"/>
      <c r="X29" s="2"/>
      <c r="Y29" s="2"/>
      <c r="Z29" s="2"/>
    </row>
    <row r="30">
      <c r="A30" s="2" t="str">
        <f>IFERROR(__xludf.DUMMYFUNCTION("""COMPUTED_VALUE"""),"Royal Woodlands")</f>
        <v>Royal Woodlands</v>
      </c>
      <c r="B30" s="2"/>
      <c r="C30" s="2" t="str">
        <f>IFERROR(__xludf.DUMMYFUNCTION("""COMPUTED_VALUE"""),"Land of Spira")</f>
        <v>Land of Spira</v>
      </c>
      <c r="D30" s="2"/>
      <c r="E30" s="16">
        <f>IFERROR(__xludf.DUMMYFUNCTION("""COMPUTED_VALUE"""),1.0E9)</f>
        <v>1000000000</v>
      </c>
      <c r="F30" s="2" t="str">
        <f>IFERROR(__xludf.DUMMYFUNCTION("""COMPUTED_VALUE"""),"Gilder")</f>
        <v>Gilder</v>
      </c>
      <c r="G30" s="2"/>
      <c r="H30" s="2"/>
      <c r="I30" s="2"/>
      <c r="J30" s="2"/>
      <c r="K30" s="2"/>
      <c r="L30" s="2"/>
      <c r="M30" s="2"/>
      <c r="N30" s="2"/>
      <c r="O30" s="2"/>
      <c r="P30" s="2"/>
      <c r="Q30" s="2"/>
      <c r="R30" s="2"/>
      <c r="S30" s="2"/>
      <c r="T30" s="2"/>
      <c r="U30" s="2"/>
      <c r="V30" s="2"/>
      <c r="W30" s="2"/>
      <c r="X30" s="2"/>
      <c r="Y30" s="2"/>
      <c r="Z30" s="2"/>
    </row>
    <row r="31">
      <c r="A31" s="2" t="str">
        <f>IFERROR(__xludf.DUMMYFUNCTION("""COMPUTED_VALUE"""),"Ruins Of Mana")</f>
        <v>Ruins Of Mana</v>
      </c>
      <c r="B31" s="2" t="str">
        <f>IFERROR(__xludf.DUMMYFUNCTION("""COMPUTED_VALUE"""),"An ancient temple built 100 centuries ago, There is a very powerful aura of energy always coming from the temple though no one really knows where that energy lies within the temple.")</f>
        <v>An ancient temple built 100 centuries ago, There is a very powerful aura of energy always coming from the temple though no one really knows where that energy lies within the temple.</v>
      </c>
      <c r="C31" s="2" t="str">
        <f>IFERROR(__xludf.DUMMYFUNCTION("""COMPUTED_VALUE"""),"Land of Spira")</f>
        <v>Land of Spira</v>
      </c>
      <c r="D31" s="2"/>
      <c r="E31" s="16">
        <f>IFERROR(__xludf.DUMMYFUNCTION("""COMPUTED_VALUE"""),1.0E9)</f>
        <v>1000000000</v>
      </c>
      <c r="F31" s="2" t="str">
        <f>IFERROR(__xludf.DUMMYFUNCTION("""COMPUTED_VALUE"""),"Gilder")</f>
        <v>Gilder</v>
      </c>
      <c r="G31" s="2"/>
      <c r="H31" s="2"/>
      <c r="I31" s="2"/>
      <c r="J31" s="2"/>
      <c r="K31" s="2"/>
      <c r="L31" s="2"/>
      <c r="M31" s="2"/>
      <c r="N31" s="2"/>
      <c r="O31" s="2"/>
      <c r="P31" s="2"/>
      <c r="Q31" s="2"/>
      <c r="R31" s="2"/>
      <c r="S31" s="2"/>
      <c r="T31" s="2"/>
      <c r="U31" s="2"/>
      <c r="V31" s="2"/>
      <c r="W31" s="2"/>
      <c r="X31" s="2"/>
      <c r="Y31" s="2"/>
      <c r="Z31" s="2"/>
    </row>
    <row r="32">
      <c r="A32" s="2" t="str">
        <f>IFERROR(__xludf.DUMMYFUNCTION("""COMPUTED_VALUE"""),"Ship Graveyard")</f>
        <v>Ship Graveyard</v>
      </c>
      <c r="B32" s="2" t="str">
        <f>IFERROR(__xludf.DUMMYFUNCTION("""COMPUTED_VALUE"""),"The ocean of Spira's deepest creatures hunt here.")</f>
        <v>The ocean of Spira's deepest creatures hunt here.</v>
      </c>
      <c r="C32" s="2" t="str">
        <f>IFERROR(__xludf.DUMMYFUNCTION("""COMPUTED_VALUE"""),"Land of Spira")</f>
        <v>Land of Spira</v>
      </c>
      <c r="D32" s="2"/>
      <c r="E32" s="16">
        <f>IFERROR(__xludf.DUMMYFUNCTION("""COMPUTED_VALUE"""),1.0E9)</f>
        <v>1000000000</v>
      </c>
      <c r="F32" s="2" t="str">
        <f>IFERROR(__xludf.DUMMYFUNCTION("""COMPUTED_VALUE"""),"Gilder")</f>
        <v>Gilder</v>
      </c>
      <c r="G32" s="2"/>
      <c r="H32" s="2"/>
      <c r="I32" s="2"/>
      <c r="J32" s="2"/>
      <c r="K32" s="2"/>
      <c r="L32" s="2"/>
      <c r="M32" s="2"/>
      <c r="N32" s="2"/>
      <c r="O32" s="2"/>
      <c r="P32" s="2"/>
      <c r="Q32" s="2"/>
      <c r="R32" s="2"/>
      <c r="S32" s="2"/>
      <c r="T32" s="2"/>
      <c r="U32" s="2"/>
      <c r="V32" s="2"/>
      <c r="W32" s="2"/>
      <c r="X32" s="2"/>
      <c r="Y32" s="2"/>
      <c r="Z32" s="2"/>
    </row>
    <row r="33">
      <c r="A33" s="2" t="str">
        <f>IFERROR(__xludf.DUMMYFUNCTION("""COMPUTED_VALUE"""),"Silence Edge Point")</f>
        <v>Silence Edge Point</v>
      </c>
      <c r="B33" s="2" t="str">
        <f>IFERROR(__xludf.DUMMYFUNCTION("""COMPUTED_VALUE"""),"A dark rocky mountain like terrain. The Tower Of Chaos, Also known as Lord Dreadful's Tower can be found here.")</f>
        <v>A dark rocky mountain like terrain. The Tower Of Chaos, Also known as Lord Dreadful's Tower can be found here.</v>
      </c>
      <c r="C33" s="2" t="str">
        <f>IFERROR(__xludf.DUMMYFUNCTION("""COMPUTED_VALUE"""),"Land of Spira")</f>
        <v>Land of Spira</v>
      </c>
      <c r="D33" s="2"/>
      <c r="E33" s="16">
        <f>IFERROR(__xludf.DUMMYFUNCTION("""COMPUTED_VALUE"""),1.0E9)</f>
        <v>1000000000</v>
      </c>
      <c r="F33" s="2" t="str">
        <f>IFERROR(__xludf.DUMMYFUNCTION("""COMPUTED_VALUE"""),"Gilder")</f>
        <v>Gilder</v>
      </c>
      <c r="G33" s="2"/>
      <c r="H33" s="2"/>
      <c r="I33" s="2"/>
      <c r="J33" s="2"/>
      <c r="K33" s="2"/>
      <c r="L33" s="2"/>
      <c r="M33" s="2"/>
      <c r="N33" s="2"/>
      <c r="O33" s="2"/>
      <c r="P33" s="2"/>
      <c r="Q33" s="2"/>
      <c r="R33" s="2"/>
      <c r="S33" s="2"/>
      <c r="T33" s="2"/>
      <c r="U33" s="2"/>
      <c r="V33" s="2"/>
      <c r="W33" s="2"/>
      <c r="X33" s="2"/>
      <c r="Y33" s="2"/>
      <c r="Z33" s="2"/>
    </row>
    <row r="34">
      <c r="A34" s="2" t="str">
        <f>IFERROR(__xludf.DUMMYFUNCTION("""COMPUTED_VALUE"""),"Swampville")</f>
        <v>Swampville</v>
      </c>
      <c r="B34" s="2" t="str">
        <f>IFERROR(__xludf.DUMMYFUNCTION("""COMPUTED_VALUE"""),"A swamp like village. Home to the most evil Cults Of Spira.")</f>
        <v>A swamp like village. Home to the most evil Cults Of Spira.</v>
      </c>
      <c r="C34" s="2" t="str">
        <f>IFERROR(__xludf.DUMMYFUNCTION("""COMPUTED_VALUE"""),"Land of Spira")</f>
        <v>Land of Spira</v>
      </c>
      <c r="D34" s="2"/>
      <c r="E34" s="16">
        <f>IFERROR(__xludf.DUMMYFUNCTION("""COMPUTED_VALUE"""),1.01E9)</f>
        <v>1010000000</v>
      </c>
      <c r="F34" s="2" t="str">
        <f>IFERROR(__xludf.DUMMYFUNCTION("""COMPUTED_VALUE"""),"Gilder")</f>
        <v>Gilder</v>
      </c>
      <c r="G34" s="2"/>
      <c r="H34" s="2"/>
      <c r="I34" s="2"/>
      <c r="J34" s="2"/>
      <c r="K34" s="2"/>
      <c r="L34" s="2"/>
      <c r="M34" s="2"/>
      <c r="N34" s="2"/>
      <c r="O34" s="2"/>
      <c r="P34" s="2"/>
      <c r="Q34" s="2"/>
      <c r="R34" s="2"/>
      <c r="S34" s="2"/>
      <c r="T34" s="2"/>
      <c r="U34" s="2"/>
      <c r="V34" s="2"/>
      <c r="W34" s="2"/>
      <c r="X34" s="2"/>
      <c r="Y34" s="2"/>
      <c r="Z34" s="2"/>
    </row>
    <row r="35">
      <c r="A35" s="2" t="str">
        <f>IFERROR(__xludf.DUMMYFUNCTION("""COMPUTED_VALUE"""),"Temple Of Dawn")</f>
        <v>Temple Of Dawn</v>
      </c>
      <c r="B35" s="2" t="str">
        <f>IFERROR(__xludf.DUMMYFUNCTION("""COMPUTED_VALUE"""),"Its said that when the sun starts to rise the temple doors open.")</f>
        <v>Its said that when the sun starts to rise the temple doors open.</v>
      </c>
      <c r="C35" s="2" t="str">
        <f>IFERROR(__xludf.DUMMYFUNCTION("""COMPUTED_VALUE"""),"Land of Spira")</f>
        <v>Land of Spira</v>
      </c>
      <c r="D35" s="2"/>
      <c r="E35" s="16">
        <f>IFERROR(__xludf.DUMMYFUNCTION("""COMPUTED_VALUE"""),1.0E9)</f>
        <v>1000000000</v>
      </c>
      <c r="F35" s="2" t="str">
        <f>IFERROR(__xludf.DUMMYFUNCTION("""COMPUTED_VALUE"""),"Gilder")</f>
        <v>Gilder</v>
      </c>
      <c r="G35" s="2"/>
      <c r="H35" s="2"/>
      <c r="I35" s="2"/>
      <c r="J35" s="2"/>
      <c r="K35" s="2"/>
      <c r="L35" s="2"/>
      <c r="M35" s="2"/>
      <c r="N35" s="2"/>
      <c r="O35" s="2"/>
      <c r="P35" s="2"/>
      <c r="Q35" s="2"/>
      <c r="R35" s="2"/>
      <c r="S35" s="2"/>
      <c r="T35" s="2"/>
      <c r="U35" s="2"/>
      <c r="V35" s="2"/>
      <c r="W35" s="2"/>
      <c r="X35" s="2"/>
      <c r="Y35" s="2"/>
      <c r="Z35" s="2"/>
    </row>
    <row r="36">
      <c r="A36" s="2" t="str">
        <f>IFERROR(__xludf.DUMMYFUNCTION("""COMPUTED_VALUE"""),"Temple Of The Rising Sun")</f>
        <v>Temple Of The Rising Sun</v>
      </c>
      <c r="B36" s="2" t="str">
        <f>IFERROR(__xludf.DUMMYFUNCTION("""COMPUTED_VALUE"""),"Its said that when the sun fully rises the temple doors open.")</f>
        <v>Its said that when the sun fully rises the temple doors open.</v>
      </c>
      <c r="C36" s="2" t="str">
        <f>IFERROR(__xludf.DUMMYFUNCTION("""COMPUTED_VALUE"""),"Land of Spira")</f>
        <v>Land of Spira</v>
      </c>
      <c r="D36" s="2"/>
      <c r="E36" s="16">
        <f>IFERROR(__xludf.DUMMYFUNCTION("""COMPUTED_VALUE"""),1.0E9)</f>
        <v>1000000000</v>
      </c>
      <c r="F36" s="2" t="str">
        <f>IFERROR(__xludf.DUMMYFUNCTION("""COMPUTED_VALUE"""),"Gilder")</f>
        <v>Gilder</v>
      </c>
      <c r="G36" s="2"/>
      <c r="H36" s="2"/>
      <c r="I36" s="2"/>
      <c r="J36" s="2"/>
      <c r="K36" s="2"/>
      <c r="L36" s="2"/>
      <c r="M36" s="2"/>
      <c r="N36" s="2"/>
      <c r="O36" s="2"/>
      <c r="P36" s="2"/>
      <c r="Q36" s="2"/>
      <c r="R36" s="2"/>
      <c r="S36" s="2"/>
      <c r="T36" s="2"/>
      <c r="U36" s="2"/>
      <c r="V36" s="2"/>
      <c r="W36" s="2"/>
      <c r="X36" s="2"/>
      <c r="Y36" s="2"/>
      <c r="Z36" s="2"/>
    </row>
    <row r="37">
      <c r="A37" s="2" t="str">
        <f>IFERROR(__xludf.DUMMYFUNCTION("""COMPUTED_VALUE"""),"Temple Of The Rising Moon")</f>
        <v>Temple Of The Rising Moon</v>
      </c>
      <c r="B37" s="2" t="str">
        <f>IFERROR(__xludf.DUMMYFUNCTION("""COMPUTED_VALUE"""),"Its said that when the moon fully rises the temple doors open.")</f>
        <v>Its said that when the moon fully rises the temple doors open.</v>
      </c>
      <c r="C37" s="2" t="str">
        <f>IFERROR(__xludf.DUMMYFUNCTION("""COMPUTED_VALUE"""),"Land of Spira")</f>
        <v>Land of Spira</v>
      </c>
      <c r="D37" s="2"/>
      <c r="E37" s="16">
        <f>IFERROR(__xludf.DUMMYFUNCTION("""COMPUTED_VALUE"""),1.0E9)</f>
        <v>1000000000</v>
      </c>
      <c r="F37" s="2" t="str">
        <f>IFERROR(__xludf.DUMMYFUNCTION("""COMPUTED_VALUE"""),"Gilder")</f>
        <v>Gilder</v>
      </c>
      <c r="G37" s="2"/>
      <c r="H37" s="2"/>
      <c r="I37" s="2"/>
      <c r="J37" s="2"/>
      <c r="K37" s="2"/>
      <c r="L37" s="2"/>
      <c r="M37" s="2"/>
      <c r="N37" s="2"/>
      <c r="O37" s="2"/>
      <c r="P37" s="2"/>
      <c r="Q37" s="2"/>
      <c r="R37" s="2"/>
      <c r="S37" s="2"/>
      <c r="T37" s="2"/>
      <c r="U37" s="2"/>
      <c r="V37" s="2"/>
      <c r="W37" s="2"/>
      <c r="X37" s="2"/>
      <c r="Y37" s="2"/>
      <c r="Z37" s="2"/>
    </row>
    <row r="38">
      <c r="A38" s="2" t="str">
        <f>IFERROR(__xludf.DUMMYFUNCTION("""COMPUTED_VALUE"""),"Temple Of Dusk")</f>
        <v>Temple Of Dusk</v>
      </c>
      <c r="B38" s="2" t="str">
        <f>IFERROR(__xludf.DUMMYFUNCTION("""COMPUTED_VALUE"""),"Its said that when the sun starts to set the temple doors open.")</f>
        <v>Its said that when the sun starts to set the temple doors open.</v>
      </c>
      <c r="C38" s="2" t="str">
        <f>IFERROR(__xludf.DUMMYFUNCTION("""COMPUTED_VALUE"""),"Land of Spira")</f>
        <v>Land of Spira</v>
      </c>
      <c r="D38" s="2"/>
      <c r="E38" s="16">
        <f>IFERROR(__xludf.DUMMYFUNCTION("""COMPUTED_VALUE"""),1.0E9)</f>
        <v>1000000000</v>
      </c>
      <c r="F38" s="2" t="str">
        <f>IFERROR(__xludf.DUMMYFUNCTION("""COMPUTED_VALUE"""),"Gilder")</f>
        <v>Gilder</v>
      </c>
      <c r="G38" s="2"/>
      <c r="H38" s="2"/>
      <c r="I38" s="2"/>
      <c r="J38" s="2"/>
      <c r="K38" s="2"/>
      <c r="L38" s="2"/>
      <c r="M38" s="2"/>
      <c r="N38" s="2"/>
      <c r="O38" s="2"/>
      <c r="P38" s="2"/>
      <c r="Q38" s="2"/>
      <c r="R38" s="2"/>
      <c r="S38" s="2"/>
      <c r="T38" s="2"/>
      <c r="U38" s="2"/>
      <c r="V38" s="2"/>
      <c r="W38" s="2"/>
      <c r="X38" s="2"/>
      <c r="Y38" s="2"/>
      <c r="Z38" s="2"/>
    </row>
    <row r="39">
      <c r="A39" s="2" t="str">
        <f>IFERROR(__xludf.DUMMYFUNCTION("""COMPUTED_VALUE"""),"The Corrupt Forest")</f>
        <v>The Corrupt Forest</v>
      </c>
      <c r="B39" s="2" t="str">
        <f>IFERROR(__xludf.DUMMYFUNCTION("""COMPUTED_VALUE"""),"A corrupt forest that makes it so anyone who travels within the forest must die to get out.")</f>
        <v>A corrupt forest that makes it so anyone who travels within the forest must die to get out.</v>
      </c>
      <c r="C39" s="2" t="str">
        <f>IFERROR(__xludf.DUMMYFUNCTION("""COMPUTED_VALUE"""),"Land of Spira")</f>
        <v>Land of Spira</v>
      </c>
      <c r="D39" s="2"/>
      <c r="E39" s="16">
        <f>IFERROR(__xludf.DUMMYFUNCTION("""COMPUTED_VALUE"""),1.0E9)</f>
        <v>1000000000</v>
      </c>
      <c r="F39" s="2" t="str">
        <f>IFERROR(__xludf.DUMMYFUNCTION("""COMPUTED_VALUE"""),"Gilder")</f>
        <v>Gilder</v>
      </c>
      <c r="G39" s="2"/>
      <c r="H39" s="2"/>
      <c r="I39" s="2"/>
      <c r="J39" s="2"/>
      <c r="K39" s="2"/>
      <c r="L39" s="2"/>
      <c r="M39" s="2"/>
      <c r="N39" s="2"/>
      <c r="O39" s="2"/>
      <c r="P39" s="2"/>
      <c r="Q39" s="2"/>
      <c r="R39" s="2"/>
      <c r="S39" s="2"/>
      <c r="T39" s="2"/>
      <c r="U39" s="2"/>
      <c r="V39" s="2"/>
      <c r="W39" s="2"/>
      <c r="X39" s="2"/>
      <c r="Y39" s="2"/>
      <c r="Z39" s="2"/>
    </row>
    <row r="40">
      <c r="A40" s="2" t="str">
        <f>IFERROR(__xludf.DUMMYFUNCTION("""COMPUTED_VALUE"""),"The Hidden Forest Of Celeste")</f>
        <v>The Hidden Forest Of Celeste</v>
      </c>
      <c r="B40" s="2" t="str">
        <f>IFERROR(__xludf.DUMMYFUNCTION("""COMPUTED_VALUE"""),"A sacred, magical, and hidden forest cared for by gnomes where Celestials are born. You must have a specific magical key to gain entry here.")</f>
        <v>A sacred, magical, and hidden forest cared for by gnomes where Celestials are born. You must have a specific magical key to gain entry here.</v>
      </c>
      <c r="C40" s="2" t="str">
        <f>IFERROR(__xludf.DUMMYFUNCTION("""COMPUTED_VALUE"""),"Land of Spira")</f>
        <v>Land of Spira</v>
      </c>
      <c r="D40" s="2"/>
      <c r="E40" s="16">
        <f>IFERROR(__xludf.DUMMYFUNCTION("""COMPUTED_VALUE"""),1.0E9)</f>
        <v>1000000000</v>
      </c>
      <c r="F40" s="2" t="str">
        <f>IFERROR(__xludf.DUMMYFUNCTION("""COMPUTED_VALUE"""),"Gilder")</f>
        <v>Gilder</v>
      </c>
      <c r="G40" s="2"/>
      <c r="H40" s="2"/>
      <c r="I40" s="2"/>
      <c r="J40" s="2"/>
      <c r="K40" s="2"/>
      <c r="L40" s="2"/>
      <c r="M40" s="2"/>
      <c r="N40" s="2"/>
      <c r="O40" s="2"/>
      <c r="P40" s="2"/>
      <c r="Q40" s="2"/>
      <c r="R40" s="2"/>
      <c r="S40" s="2"/>
      <c r="T40" s="2"/>
      <c r="U40" s="2"/>
      <c r="V40" s="2"/>
      <c r="W40" s="2"/>
      <c r="X40" s="2"/>
      <c r="Y40" s="2"/>
      <c r="Z40" s="2"/>
    </row>
    <row r="41">
      <c r="A41" s="2" t="str">
        <f>IFERROR(__xludf.DUMMYFUNCTION("""COMPUTED_VALUE"""),"The Red Sands")</f>
        <v>The Red Sands</v>
      </c>
      <c r="B41" s="2" t="str">
        <f>IFERROR(__xludf.DUMMYFUNCTION("""COMPUTED_VALUE"""),"Home to The Kingdom of Royal Knights and The Lord of Spira. This is where all of the guards of spira get trained before they become an actual guard and get dispatched to other towns and areas.")</f>
        <v>Home to The Kingdom of Royal Knights and The Lord of Spira. This is where all of the guards of spira get trained before they become an actual guard and get dispatched to other towns and areas.</v>
      </c>
      <c r="C41" s="2" t="str">
        <f>IFERROR(__xludf.DUMMYFUNCTION("""COMPUTED_VALUE"""),"Land of Spira")</f>
        <v>Land of Spira</v>
      </c>
      <c r="D41" s="2"/>
      <c r="E41" s="16">
        <f>IFERROR(__xludf.DUMMYFUNCTION("""COMPUTED_VALUE"""),1.0025E9)</f>
        <v>1002500000</v>
      </c>
      <c r="F41" s="2" t="str">
        <f>IFERROR(__xludf.DUMMYFUNCTION("""COMPUTED_VALUE"""),"Gilder")</f>
        <v>Gilder</v>
      </c>
      <c r="G41" s="2"/>
      <c r="H41" s="2"/>
      <c r="I41" s="2"/>
      <c r="J41" s="2"/>
      <c r="K41" s="2"/>
      <c r="L41" s="2"/>
      <c r="M41" s="2"/>
      <c r="N41" s="2"/>
      <c r="O41" s="2"/>
      <c r="P41" s="2"/>
      <c r="Q41" s="2"/>
      <c r="R41" s="2"/>
      <c r="S41" s="2"/>
      <c r="T41" s="2"/>
      <c r="U41" s="2"/>
      <c r="V41" s="2"/>
      <c r="W41" s="2"/>
      <c r="X41" s="2"/>
      <c r="Y41" s="2"/>
      <c r="Z41" s="2"/>
    </row>
    <row r="42">
      <c r="A42" s="2" t="str">
        <f>IFERROR(__xludf.DUMMYFUNCTION("""COMPUTED_VALUE"""),"The Submerged City Of Tritonoch")</f>
        <v>The Submerged City Of Tritonoch</v>
      </c>
      <c r="B42" s="2" t="str">
        <f>IFERROR(__xludf.DUMMYFUNCTION("""COMPUTED_VALUE"""),"An ancient underwater city ruled by the Kraken himself. ")</f>
        <v>An ancient underwater city ruled by the Kraken himself. </v>
      </c>
      <c r="C42" s="2" t="str">
        <f>IFERROR(__xludf.DUMMYFUNCTION("""COMPUTED_VALUE"""),"Land of Spira")</f>
        <v>Land of Spira</v>
      </c>
      <c r="D42" s="2"/>
      <c r="E42" s="16">
        <f>IFERROR(__xludf.DUMMYFUNCTION("""COMPUTED_VALUE"""),1.0E9)</f>
        <v>1000000000</v>
      </c>
      <c r="F42" s="2" t="str">
        <f>IFERROR(__xludf.DUMMYFUNCTION("""COMPUTED_VALUE"""),"Gilder")</f>
        <v>Gilder</v>
      </c>
      <c r="G42" s="2"/>
      <c r="H42" s="2"/>
      <c r="I42" s="2"/>
      <c r="J42" s="2"/>
      <c r="K42" s="2"/>
      <c r="L42" s="2"/>
      <c r="M42" s="2"/>
      <c r="N42" s="2"/>
      <c r="O42" s="2"/>
      <c r="P42" s="2"/>
      <c r="Q42" s="2"/>
      <c r="R42" s="2"/>
      <c r="S42" s="2"/>
      <c r="T42" s="2"/>
      <c r="U42" s="2"/>
      <c r="V42" s="2"/>
      <c r="W42" s="2"/>
      <c r="X42" s="2"/>
      <c r="Y42" s="2"/>
      <c r="Z42" s="2"/>
    </row>
    <row r="43">
      <c r="A43" s="2" t="str">
        <f>IFERROR(__xludf.DUMMYFUNCTION("""COMPUTED_VALUE"""),"Tower Of Secret Mages")</f>
        <v>Tower Of Secret Mages</v>
      </c>
      <c r="B43" s="2" t="str">
        <f>IFERROR(__xludf.DUMMYFUNCTION("""COMPUTED_VALUE"""),"Home to the Mages Of Spira, You can find a mage of each element here and the Grand Mage at the very top.")</f>
        <v>Home to the Mages Of Spira, You can find a mage of each element here and the Grand Mage at the very top.</v>
      </c>
      <c r="C43" s="2" t="str">
        <f>IFERROR(__xludf.DUMMYFUNCTION("""COMPUTED_VALUE"""),"Land of Spira")</f>
        <v>Land of Spira</v>
      </c>
      <c r="D43" s="2"/>
      <c r="E43" s="16">
        <f>IFERROR(__xludf.DUMMYFUNCTION("""COMPUTED_VALUE"""),1.0E9)</f>
        <v>1000000000</v>
      </c>
      <c r="F43" s="2" t="str">
        <f>IFERROR(__xludf.DUMMYFUNCTION("""COMPUTED_VALUE"""),"Gilder")</f>
        <v>Gilder</v>
      </c>
      <c r="G43" s="2"/>
      <c r="H43" s="2"/>
      <c r="I43" s="2"/>
      <c r="J43" s="2"/>
      <c r="K43" s="2"/>
      <c r="L43" s="2"/>
      <c r="M43" s="2"/>
      <c r="N43" s="2"/>
      <c r="O43" s="2"/>
      <c r="P43" s="2"/>
      <c r="Q43" s="2"/>
      <c r="R43" s="2"/>
      <c r="S43" s="2"/>
      <c r="T43" s="2"/>
      <c r="U43" s="2"/>
      <c r="V43" s="2"/>
      <c r="W43" s="2"/>
      <c r="X43" s="2"/>
      <c r="Y43" s="2"/>
      <c r="Z43" s="2"/>
    </row>
    <row r="44">
      <c r="A44" s="2" t="str">
        <f>IFERROR(__xludf.DUMMYFUNCTION("""COMPUTED_VALUE"""),"WildWood")</f>
        <v>WildWood</v>
      </c>
      <c r="B44" s="2" t="str">
        <f>IFERROR(__xludf.DUMMYFUNCTION("""COMPUTED_VALUE"""),"Wildwood, One of the few towns in Spira where the Spirit of the Wild is kept alive via its shamanisitic rituals and simplistic way of living. Wildwood is located in the far western region of Spira near the Foul Night Swamp and Hallowtown it hosts a deep a"&amp;"nd wild forest that is inhabited by many magical and mundane beasts.
Wildwood holds importance for many different walks of people In the land of Spira for Shamans it is the place where they first learn to harness the power of the spirit, For Cavaliers it"&amp;" is both the homeland of many Cavaliers and the land where the art of Beast Mastery was first created. Hunters come here to prove themselves, and Druids to hone the magic of the WildWood.")</f>
        <v>Wildwood, One of the few towns in Spira where the Spirit of the Wild is kept alive via its shamanisitic rituals and simplistic way of living. Wildwood is located in the far western region of Spira near the Foul Night Swamp and Hallowtown it hosts a deep and wild forest that is inhabited by many magical and mundane beasts.
Wildwood holds importance for many different walks of people In the land of Spira for Shamans it is the place where they first learn to harness the power of the spirit, For Cavaliers it is both the homeland of many Cavaliers and the land where the art of Beast Mastery was first created. Hunters come here to prove themselves, and Druids to hone the magic of the WildWood.</v>
      </c>
      <c r="C44" s="2" t="str">
        <f>IFERROR(__xludf.DUMMYFUNCTION("""COMPUTED_VALUE"""),"Land of Spira")</f>
        <v>Land of Spira</v>
      </c>
      <c r="D44" s="2"/>
      <c r="E44" s="16">
        <f>IFERROR(__xludf.DUMMYFUNCTION("""COMPUTED_VALUE"""),2.3078E9)</f>
        <v>2307800000</v>
      </c>
      <c r="F44" s="2" t="str">
        <f>IFERROR(__xludf.DUMMYFUNCTION("""COMPUTED_VALUE"""),"Gilder")</f>
        <v>Gilder</v>
      </c>
      <c r="G44" s="2"/>
      <c r="H44" s="2"/>
      <c r="I44" s="2"/>
      <c r="J44" s="2"/>
      <c r="K44" s="2"/>
      <c r="L44" s="2"/>
      <c r="M44" s="2"/>
      <c r="N44" s="2"/>
      <c r="O44" s="2"/>
      <c r="P44" s="2"/>
      <c r="Q44" s="2"/>
      <c r="R44" s="2"/>
      <c r="S44" s="2"/>
      <c r="T44" s="2"/>
      <c r="U44" s="2"/>
      <c r="V44" s="2"/>
      <c r="W44" s="2"/>
      <c r="X44" s="2"/>
      <c r="Y44" s="2"/>
      <c r="Z44" s="2"/>
    </row>
    <row r="45">
      <c r="A45" s="2" t="str">
        <f>IFERROR(__xludf.DUMMYFUNCTION("""COMPUTED_VALUE"""),"The World Tree of Spira")</f>
        <v>The World Tree of Spira</v>
      </c>
      <c r="B45" s="2" t="str">
        <f>IFERROR(__xludf.DUMMYFUNCTION("""COMPUTED_VALUE"""),"Deep within the heart of Spira, a mystical and colossal entity known as The World Tree stands as the linchpin connecting The Land of Spira, Abstara, and Solreach. This ancient arboreal wonder, woven into existence by the enigmatic Phantom of Spira many ce"&amp;"nturies ago, is not merely a tree but a cosmic nexus that binds the fates of these three worlds.
Key Elements of The World Tree:
Creation by The Phantom of Spira:
In a time long forgotten, The Phantom of Spira, a mysterious and powerful entity, wove The"&amp;" World Tree into existence. Its roots delved deep into the essence of Spira, its branches reaching out to touch the realms of Abstara and Solreach.
Guardian Spirits and Ancients:
The World Tree is not just a physical entity but a spiritual conduit. Guard"&amp;"ian spirits and ancient beings reside within its sacred groves, serving as protectors and stewards of the delicate balance it maintains among the three interconnected worlds.
Ethereal Lifeforce Threads:
Energy threads, like luminescent veins, extend from"&amp;" The World Tree into each realm. These threads carry the vital lifeforce that sustains the lands, ensuring harmony and preventing the descent into chaos.
The Heartwood Nexus:
At the center of The World Tree lies the Heartwood Nexus, a focal point of unim"&amp;"aginable power. It is here that the balance between realms is delicately maintained, and disruptions to this nexus could have catastrophic consequences for Spira, Abstara, and Solreach.
Celestial Guardians:
Celestial beings, drawn to the transcendent aur"&amp;"a of The World Tree, act as ethereal guardians. Their purpose is to ward off any malevolent forces seeking to exploit or disrupt the delicate equilibrium woven into the fabric of these interconnected worlds.
Ceremonial Gatherings:
Periodically, represent"&amp;"atives from each realm gather beneath The World Tree for ceremonial occasions. These gatherings foster understanding, cooperation, and the exchange of wisdom, reinforcing the interconnectedness of the three worlds.
Potential Threats:
While The World Tre"&amp;"e serves as a bastion of harmony, it is not immune to external threats. Malevolent forces, both mortal and supernatural, seek to exploit its power for their own nefarious purposes. Disrupting the lifeforce threads or corrupting the Heartwood Nexus could p"&amp;"lunge the three realms into chaos, unleashing untold consequences.
Adventurers, guided by the call of destiny, may find themselves tasked with safeguarding The World Tree from these looming threats. The fate of Spira, Abstara, and Solreach rests in the b"&amp;"alance, and only those with the courage to protect the nexus can prevent the impending catastrophe.")</f>
        <v>Deep within the heart of Spira, a mystical and colossal entity known as The World Tree stands as the linchpin connecting The Land of Spira, Abstara, and Solreach. This ancient arboreal wonder, woven into existence by the enigmatic Phantom of Spira many centuries ago, is not merely a tree but a cosmic nexus that binds the fates of these three worlds.
Key Elements of The World Tree:
Creation by The Phantom of Spira:
In a time long forgotten, The Phantom of Spira, a mysterious and powerful entity, wove The World Tree into existence. Its roots delved deep into the essence of Spira, its branches reaching out to touch the realms of Abstara and Solreach.
Guardian Spirits and Ancients:
The World Tree is not just a physical entity but a spiritual conduit. Guardian spirits and ancient beings reside within its sacred groves, serving as protectors and stewards of the delicate balance it maintains among the three interconnected worlds.
Ethereal Lifeforce Threads:
Energy threads, like luminescent veins, extend from The World Tree into each realm. These threads carry the vital lifeforce that sustains the lands, ensuring harmony and preventing the descent into chaos.
The Heartwood Nexus:
At the center of The World Tree lies the Heartwood Nexus, a focal point of unimaginable power. It is here that the balance between realms is delicately maintained, and disruptions to this nexus could have catastrophic consequences for Spira, Abstara, and Solreach.
Celestial Guardians:
Celestial beings, drawn to the transcendent aura of The World Tree, act as ethereal guardians. Their purpose is to ward off any malevolent forces seeking to exploit or disrupt the delicate equilibrium woven into the fabric of these interconnected worlds.
Ceremonial Gatherings:
Periodically, representatives from each realm gather beneath The World Tree for ceremonial occasions. These gatherings foster understanding, cooperation, and the exchange of wisdom, reinforcing the interconnectedness of the three worlds.
Potential Threats:
While The World Tree serves as a bastion of harmony, it is not immune to external threats. Malevolent forces, both mortal and supernatural, seek to exploit its power for their own nefarious purposes. Disrupting the lifeforce threads or corrupting the Heartwood Nexus could plunge the three realms into chaos, unleashing untold consequences.
Adventurers, guided by the call of destiny, may find themselves tasked with safeguarding The World Tree from these looming threats. The fate of Spira, Abstara, and Solreach rests in the balance, and only those with the courage to protect the nexus can prevent the impending catastrophe.</v>
      </c>
      <c r="C45" s="2" t="str">
        <f>IFERROR(__xludf.DUMMYFUNCTION("""COMPUTED_VALUE"""),"Land of Spira")</f>
        <v>Land of Spira</v>
      </c>
      <c r="D45" s="2"/>
      <c r="E45" s="16">
        <f>IFERROR(__xludf.DUMMYFUNCTION("""COMPUTED_VALUE"""),1.1032E9)</f>
        <v>1103200000</v>
      </c>
      <c r="F45" s="2" t="str">
        <f>IFERROR(__xludf.DUMMYFUNCTION("""COMPUTED_VALUE"""),"Gilder")</f>
        <v>Gilder</v>
      </c>
      <c r="G45" s="2"/>
      <c r="H45" s="2"/>
      <c r="I45" s="2"/>
      <c r="J45" s="2"/>
      <c r="K45" s="2"/>
      <c r="L45" s="2"/>
      <c r="M45" s="2"/>
      <c r="N45" s="2"/>
      <c r="O45" s="2"/>
      <c r="P45" s="2"/>
      <c r="Q45" s="2"/>
      <c r="R45" s="2"/>
      <c r="S45" s="2"/>
      <c r="T45" s="2"/>
      <c r="U45" s="2"/>
      <c r="V45" s="2"/>
      <c r="W45" s="2"/>
      <c r="X45" s="2"/>
      <c r="Y45" s="2"/>
      <c r="Z45" s="2"/>
    </row>
    <row r="46">
      <c r="A46" s="2" t="str">
        <f>IFERROR(__xludf.DUMMYFUNCTION("""COMPUTED_VALUE"""),"Zhenmay")</f>
        <v>Zhenmay</v>
      </c>
      <c r="B46" s="2" t="str">
        <f>IFERROR(__xludf.DUMMYFUNCTION("""COMPUTED_VALUE"""),"In the heart of the vast and mystical Spira lies the serene and enigmatic realm of Zhenmay. This Asian-inspired empire is a testament to the harmonious coexistence of tradition, spirituality, and martial prowess. Ruled by a wise and just emperor, Zhenmay "&amp;"stands as a beacon of balance and tranquility.
The core philosophy of Zhenmay revolves around the concept of Chi, the life force that flows through every living being and the world itself. Monks, revered as the spiritual guardians of the land, dedicate t"&amp;"heir lives to understanding and manipulating this ethereal energy to restore balance whenever disharmony threatens.
Key Features of Zhenmay:
Imperial Palace of Tranquil Wisdom: At the heart of Zhenmay, the Imperial Palace stands as a testament to ar"&amp;"chitectural splendor and spiritual enlightenment. The emperor, known for his sagacity, resides here, guiding the destiny of the empire with wisdom and fairness.
Monasteries of Chi Mastery: Scattered across the picturesque landscapes, the monasteries ar"&amp;"e hubs of spiritual training. Monks undergo rigorous discipline, learning martial arts, meditation, and Chi manipulation to serve as the guardians of Zhenmay's equilibrium.
Bamboo Forests of Whispers: The Bamboo Forests, a symbol of flexibility and str"&amp;"ength, envelop many regions of Zhenmay. The soft rustling of bamboo leaves is said to convey the whispers of ancient wisdom, guiding those who listen towards enlightenment.
Dragon Peaks of Ascension: Towering mountain ranges, known as the Dragon Peaks,"&amp;" punctuate the horizon. Monastic retreats perch on these peaks, serving as both sanctuaries and training grounds for monks seeking to elevate their connection with Chi.
Lantern-Lit Waterways: Zhenmay's cities are connected by intricate waterways adorne"&amp;"d with lanterns that illuminate the path of travelers. These waterways are not just conduits for trade but also serve as metaphors for the interconnected flow of Chi through the empire.
Festivals of Equilibrium: Zhenmay celebrates annual festivals wher"&amp;"e citizens and monks come together to honor the balance of Chi. These festivals involve elaborate ceremonies, martial arts displays, and communal meditation, fostering a sense of unity among the people.")</f>
        <v>In the heart of the vast and mystical Spira lies the serene and enigmatic realm of Zhenmay. This Asian-inspired empire is a testament to the harmonious coexistence of tradition, spirituality, and martial prowess. Ruled by a wise and just emperor, Zhenmay stands as a beacon of balance and tranquility.
The core philosophy of Zhenmay revolves around the concept of Chi, the life force that flows through every living being and the world itself. Monks, revered as the spiritual guardians of the land, dedicate their lives to understanding and manipulating this ethereal energy to restore balance whenever disharmony threatens.
Key Features of Zhenmay:
Imperial Palace of Tranquil Wisdom: At the heart of Zhenmay, the Imperial Palace stands as a testament to architectural splendor and spiritual enlightenment. The emperor, known for his sagacity, resides here, guiding the destiny of the empire with wisdom and fairness.
Monasteries of Chi Mastery: Scattered across the picturesque landscapes, the monasteries are hubs of spiritual training. Monks undergo rigorous discipline, learning martial arts, meditation, and Chi manipulation to serve as the guardians of Zhenmay's equilibrium.
Bamboo Forests of Whispers: The Bamboo Forests, a symbol of flexibility and strength, envelop many regions of Zhenmay. The soft rustling of bamboo leaves is said to convey the whispers of ancient wisdom, guiding those who listen towards enlightenment.
Dragon Peaks of Ascension: Towering mountain ranges, known as the Dragon Peaks, punctuate the horizon. Monastic retreats perch on these peaks, serving as both sanctuaries and training grounds for monks seeking to elevate their connection with Chi.
Lantern-Lit Waterways: Zhenmay's cities are connected by intricate waterways adorned with lanterns that illuminate the path of travelers. These waterways are not just conduits for trade but also serve as metaphors for the interconnected flow of Chi through the empire.
Festivals of Equilibrium: Zhenmay celebrates annual festivals where citizens and monks come together to honor the balance of Chi. These festivals involve elaborate ceremonies, martial arts displays, and communal meditation, fostering a sense of unity among the people.</v>
      </c>
      <c r="C46" s="2" t="str">
        <f>IFERROR(__xludf.DUMMYFUNCTION("""COMPUTED_VALUE"""),"Land of Spira")</f>
        <v>Land of Spira</v>
      </c>
      <c r="D46" s="2"/>
      <c r="E46" s="16">
        <f>IFERROR(__xludf.DUMMYFUNCTION("""COMPUTED_VALUE"""),1.53E9)</f>
        <v>1530000000</v>
      </c>
      <c r="F46" s="2" t="str">
        <f>IFERROR(__xludf.DUMMYFUNCTION("""COMPUTED_VALUE"""),"Gilder")</f>
        <v>Gilder</v>
      </c>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t="str">
        <f>IFERROR(__xludf.DUMMYFUNCTION("""COMPUTED_VALUE"""),"Abyssville")</f>
        <v>Abyssville</v>
      </c>
      <c r="B48" s="2" t="str">
        <f>IFERROR(__xludf.DUMMYFUNCTION("""COMPUTED_VALUE"""),"This city is unlike any other, as it's nestled within the depths of a vast and foreboding abyss that stretches deep within the heart of the underworld. The origins of Abyssville are steeped in ancient legends and forgotten tales, revealing a rich history "&amp;"that dates back to the earliest days of Abstara's existence.
In the primordial times, when the world was still young and its surface teemed with vibrant life, the gods of Abstara looked upon their creation with both wonder and concern. They observed the "&amp;"rise and fall of civilizations, the weaving tapestry of mortal ambitions, and the ever-present cycle of light and darkness. Yet, beneath the earth's surface, hidden from the watchful eyes of the gods, another realm thrived – the abyss.
The abyss was a ch"&amp;"asm that defied reason, a seemingly endless void that twisted and wound its way through the very core of Abstara. This chasm was born from the tumultuous energies that had shaped the world in its infancy, a scar in the fabric of reality that led to places"&amp;" both miraculous and terrifying.
As eons passed, a group of intrepid explorers, driven by insatiable curiosity and the desire for adventure, descended into the abyss. Among them was a visionary named Valeria, a sage with a heart full of wonder and a mind"&amp;" overflowing with knowledge. She was accompanied by a motley crew of scholars, artisans, and warriors, each seeking to unravel the mysteries of the abyss.
Upon reaching its depths, they discovered something astonishing – a shimmering, otherworldly expans"&amp;"e unlike anything they had ever seen. This was the heart of the abyss, a realm where time danced to its own rhythm, and the boundaries between reality and the ethereal blurred. Here, they decided to create a haven, a sanctuary where those who felt a deep "&amp;"connection to the abyss could gather and forge their own destinies.
With determination and the guidance of Valeria, the explorers shaped the abyss itself, using its unique energies to craft a city that defied the conventions of both the surface and the u"&amp;"nderworld. Towers of iridescent crystal reached towards the unknown above, while intricate passages wound their way through the chasm's depths. The city's architecture was a fusion of the natural and the supernatural, reflecting the profound connection it"&amp;"s inhabitants shared with the abyss.
Over time, Abyssville flourished. The city became a hub of knowledge, where scholars and mages delved into the secrets of the abyss, artisans crafted wondrous works of art inspired by its energies, and adventurers sou"&amp;"ght to uncover the truth hidden within its depths. The citizens of Abyssville came from all walks of life, united by their reverence for the abyss and their desire to unlock its potential.
As generations passed, the city's legacy grew. Valeria, once a mo"&amp;"rtal explorer, became an enigmatic figure, said to possess insights into the very nature of the abyss itself. Her wisdom was sought by all who called Abyssville home, and her guidance helped the city navigate challenges and embrace its destiny.
However, "&amp;"like any place shaped by diverse perspectives, Abyssville was not without its tensions. Different factions emerged, each with their own interpretation of the abyss's purpose and potential. Some believed in harnessing its energies for the betterment of Abs"&amp;"tara's surface world, while others advocated for preserving its mysteries, fearing the consequences of meddling with forces beyond mortal comprehension.
And so, as the present era dawns, Abyssville stands at a crossroads. Its history is a testament to th"&amp;"e power of curiosity, determination, and the eternal quest for understanding. Its future remains uncertain, as its inhabitants must navigate the complexities of their own ambitions, the conflicts that arise from differing viewpoints, and the enigmatic dep"&amp;"ths of the abyss that both shelters and challenges them.")</f>
        <v>This city is unlike any other, as it's nestled within the depths of a vast and foreboding abyss that stretches deep within the heart of the underworld. The origins of Abyssville are steeped in ancient legends and forgotten tales, revealing a rich history that dates back to the earliest days of Abstara's existence.
In the primordial times, when the world was still young and its surface teemed with vibrant life, the gods of Abstara looked upon their creation with both wonder and concern. They observed the rise and fall of civilizations, the weaving tapestry of mortal ambitions, and the ever-present cycle of light and darkness. Yet, beneath the earth's surface, hidden from the watchful eyes of the gods, another realm thrived – the abyss.
The abyss was a chasm that defied reason, a seemingly endless void that twisted and wound its way through the very core of Abstara. This chasm was born from the tumultuous energies that had shaped the world in its infancy, a scar in the fabric of reality that led to places both miraculous and terrifying.
As eons passed, a group of intrepid explorers, driven by insatiable curiosity and the desire for adventure, descended into the abyss. Among them was a visionary named Valeria, a sage with a heart full of wonder and a mind overflowing with knowledge. She was accompanied by a motley crew of scholars, artisans, and warriors, each seeking to unravel the mysteries of the abyss.
Upon reaching its depths, they discovered something astonishing – a shimmering, otherworldly expanse unlike anything they had ever seen. This was the heart of the abyss, a realm where time danced to its own rhythm, and the boundaries between reality and the ethereal blurred. Here, they decided to create a haven, a sanctuary where those who felt a deep connection to the abyss could gather and forge their own destinies.
With determination and the guidance of Valeria, the explorers shaped the abyss itself, using its unique energies to craft a city that defied the conventions of both the surface and the underworld. Towers of iridescent crystal reached towards the unknown above, while intricate passages wound their way through the chasm's depths. The city's architecture was a fusion of the natural and the supernatural, reflecting the profound connection its inhabitants shared with the abyss.
Over time, Abyssville flourished. The city became a hub of knowledge, where scholars and mages delved into the secrets of the abyss, artisans crafted wondrous works of art inspired by its energies, and adventurers sought to uncover the truth hidden within its depths. The citizens of Abyssville came from all walks of life, united by their reverence for the abyss and their desire to unlock its potential.
As generations passed, the city's legacy grew. Valeria, once a mortal explorer, became an enigmatic figure, said to possess insights into the very nature of the abyss itself. Her wisdom was sought by all who called Abyssville home, and her guidance helped the city navigate challenges and embrace its destiny.
However, like any place shaped by diverse perspectives, Abyssville was not without its tensions. Different factions emerged, each with their own interpretation of the abyss's purpose and potential. Some believed in harnessing its energies for the betterment of Abstara's surface world, while others advocated for preserving its mysteries, fearing the consequences of meddling with forces beyond mortal comprehension.
And so, as the present era dawns, Abyssville stands at a crossroads. Its history is a testament to the power of curiosity, determination, and the eternal quest for understanding. Its future remains uncertain, as its inhabitants must navigate the complexities of their own ambitions, the conflicts that arise from differing viewpoints, and the enigmatic depths of the abyss that both shelters and challenges them.</v>
      </c>
      <c r="C48" s="2" t="str">
        <f>IFERROR(__xludf.DUMMYFUNCTION("""COMPUTED_VALUE"""),"Abstara")</f>
        <v>Abstara</v>
      </c>
      <c r="D48" s="2"/>
      <c r="E48" s="16">
        <f>IFERROR(__xludf.DUMMYFUNCTION("""COMPUTED_VALUE"""),1.0E9)</f>
        <v>1000000000</v>
      </c>
      <c r="F48" s="2" t="str">
        <f>IFERROR(__xludf.DUMMYFUNCTION("""COMPUTED_VALUE"""),"UndeadCoin")</f>
        <v>UndeadCoin</v>
      </c>
      <c r="G48" s="2"/>
      <c r="H48" s="2"/>
      <c r="I48" s="2"/>
      <c r="J48" s="2"/>
      <c r="K48" s="2"/>
      <c r="L48" s="2"/>
      <c r="M48" s="2"/>
      <c r="N48" s="2"/>
      <c r="O48" s="2"/>
      <c r="P48" s="2"/>
      <c r="Q48" s="2"/>
      <c r="R48" s="2"/>
      <c r="S48" s="2"/>
      <c r="T48" s="2"/>
      <c r="U48" s="2"/>
      <c r="V48" s="2"/>
      <c r="W48" s="2"/>
      <c r="X48" s="2"/>
      <c r="Y48" s="2"/>
      <c r="Z48" s="2"/>
    </row>
    <row r="49">
      <c r="A49" s="2" t="str">
        <f>IFERROR(__xludf.DUMMYFUNCTION("""COMPUTED_VALUE"""),"Chaotic Village of Suffering")</f>
        <v>Chaotic Village of Suffering</v>
      </c>
      <c r="B49" s="2" t="str">
        <f>IFERROR(__xludf.DUMMYFUNCTION("""COMPUTED_VALUE"""),"This village is a haunting testament to the malevolence of a cruel and powerful being whose dark ambitions cast a pall over its once-tranquil existence. The origins of this village are a tale of heartbreak, torment, and the struggle of tortured souls agai"&amp;"nst the grip of an insidious force.
Abstara was once a realm of balance, where the cosmic energies of creation and destruction intertwined harmoniously. Among the cosmic entities that watched over this realm, there existed a being known as Varkul, an eni"&amp;"gmatic and powerful entity who held dominion over the forces of suffering and pain. Varkul's insatiable hunger for power and dominance led him down a treacherous path, one that drove him to feed upon the agony of mortal souls.
In a remote corner of Absta"&amp;"ra, nestled within a valley that seemed untouched by time itself, lay a peaceful village named Eldenbrook. Its residents lived in harmony with the land, cherishing the simple joys of life and embracing the natural world around them. However, their tranqui"&amp;"l existence would soon be shattered by the arrival of Varkul.
Varkul descended upon Eldenbrook with a maelstrom of darkness and cruelty. Using his malevolent powers, he subjected the villagers to unimaginable tortures that twisted their minds and souls, "&amp;"weaving a tapestry of despair and suffering. The once-cheerful Eldenbrook became the Chaotic Village of Suffering, a place where agony was etched into every stone, and the very air was thick with the echoes of torment.
As the village's inhabitants endure"&amp;"d untold pain, their anguish became a wellspring of power for Varkul. He reveled in their misery, feeding on their suffering and growing stronger with every anguished cry. The villagers' spirits were broken, their hope extinguished, and they existed in a "&amp;"perpetual state of torment, trapped between the realms of the living and the dead.
Amidst the darkness, a glimmer of resistance emerged. A small group of villagers, their will to survive unbroken, banded together to oppose Varkul's reign of terror. Led b"&amp;"y a determined and courageous figure named Elysia, this group sought a way to free their village from the malevolent clutches of Varkul. With ancient lore and forbidden rituals, they forged a bond with spirits of light and hope, channeling their strength "&amp;"to confront the darkness that had consumed Eldenbrook.
In a climactic battle that spanned both the physical and metaphysical realms, Elysia and her allies faced off against Varkul. Their determination and sacrifice managed to weaken his grasp on the vill"&amp;"age, allowing the spirits of light to pierce through the darkness. With a final surge of power, the group managed to banish Varkul from Eldenbrook, severing his connection to the tortured souls and freeing them from their eternal suffering.
While the vil"&amp;"lage was saved from Varkul's grasp, the scars of its tormented past remained. Elysia and her companions chose to stay behind, becoming guardians of the village and its history. They ensured that the stories of the suffering endured would be remembered, se"&amp;"rving as a grim reminder of the darkness that had once tainted the land.
Today, the Chaotic Village of Suffering stands as a testament to the resilience of those who fought against cruelty and a reminder that even in the bleakest of times, hope can still"&amp;" shine. Its streets and buildings bear the marks of the horrors that transpired, a somber landscape that serves as both a memorial and a warning. The village's tortured history is woven into the very fabric of Abstara, a tale of darkness and redemption th"&amp;"at echoes through the ages.")</f>
        <v>This village is a haunting testament to the malevolence of a cruel and powerful being whose dark ambitions cast a pall over its once-tranquil existence. The origins of this village are a tale of heartbreak, torment, and the struggle of tortured souls against the grip of an insidious force.
Abstara was once a realm of balance, where the cosmic energies of creation and destruction intertwined harmoniously. Among the cosmic entities that watched over this realm, there existed a being known as Varkul, an enigmatic and powerful entity who held dominion over the forces of suffering and pain. Varkul's insatiable hunger for power and dominance led him down a treacherous path, one that drove him to feed upon the agony of mortal souls.
In a remote corner of Abstara, nestled within a valley that seemed untouched by time itself, lay a peaceful village named Eldenbrook. Its residents lived in harmony with the land, cherishing the simple joys of life and embracing the natural world around them. However, their tranquil existence would soon be shattered by the arrival of Varkul.
Varkul descended upon Eldenbrook with a maelstrom of darkness and cruelty. Using his malevolent powers, he subjected the villagers to unimaginable tortures that twisted their minds and souls, weaving a tapestry of despair and suffering. The once-cheerful Eldenbrook became the Chaotic Village of Suffering, a place where agony was etched into every stone, and the very air was thick with the echoes of torment.
As the village's inhabitants endured untold pain, their anguish became a wellspring of power for Varkul. He reveled in their misery, feeding on their suffering and growing stronger with every anguished cry. The villagers' spirits were broken, their hope extinguished, and they existed in a perpetual state of torment, trapped between the realms of the living and the dead.
Amidst the darkness, a glimmer of resistance emerged. A small group of villagers, their will to survive unbroken, banded together to oppose Varkul's reign of terror. Led by a determined and courageous figure named Elysia, this group sought a way to free their village from the malevolent clutches of Varkul. With ancient lore and forbidden rituals, they forged a bond with spirits of light and hope, channeling their strength to confront the darkness that had consumed Eldenbrook.
In a climactic battle that spanned both the physical and metaphysical realms, Elysia and her allies faced off against Varkul. Their determination and sacrifice managed to weaken his grasp on the village, allowing the spirits of light to pierce through the darkness. With a final surge of power, the group managed to banish Varkul from Eldenbrook, severing his connection to the tortured souls and freeing them from their eternal suffering.
While the village was saved from Varkul's grasp, the scars of its tormented past remained. Elysia and her companions chose to stay behind, becoming guardians of the village and its history. They ensured that the stories of the suffering endured would be remembered, serving as a grim reminder of the darkness that had once tainted the land.
Today, the Chaotic Village of Suffering stands as a testament to the resilience of those who fought against cruelty and a reminder that even in the bleakest of times, hope can still shine. Its streets and buildings bear the marks of the horrors that transpired, a somber landscape that serves as both a memorial and a warning. The village's tortured history is woven into the very fabric of Abstara, a tale of darkness and redemption that echoes through the ages.</v>
      </c>
      <c r="C49" s="2" t="str">
        <f>IFERROR(__xludf.DUMMYFUNCTION("""COMPUTED_VALUE"""),"Abstara")</f>
        <v>Abstara</v>
      </c>
      <c r="D49" s="2"/>
      <c r="E49" s="16">
        <f>IFERROR(__xludf.DUMMYFUNCTION("""COMPUTED_VALUE"""),1.0E9)</f>
        <v>1000000000</v>
      </c>
      <c r="F49" s="2" t="str">
        <f>IFERROR(__xludf.DUMMYFUNCTION("""COMPUTED_VALUE"""),"UndeadCoin")</f>
        <v>UndeadCoin</v>
      </c>
      <c r="G49" s="2"/>
      <c r="H49" s="2"/>
      <c r="I49" s="2"/>
      <c r="J49" s="2"/>
      <c r="K49" s="2"/>
      <c r="L49" s="2"/>
      <c r="M49" s="2"/>
      <c r="N49" s="2"/>
      <c r="O49" s="2"/>
      <c r="P49" s="2"/>
      <c r="Q49" s="2"/>
      <c r="R49" s="2"/>
      <c r="S49" s="2"/>
      <c r="T49" s="2"/>
      <c r="U49" s="2"/>
      <c r="V49" s="2"/>
      <c r="W49" s="2"/>
      <c r="X49" s="2"/>
      <c r="Y49" s="2"/>
      <c r="Z49" s="2"/>
    </row>
    <row r="50">
      <c r="A50" s="2" t="str">
        <f>IFERROR(__xludf.DUMMYFUNCTION("""COMPUTED_VALUE"""),"City of Flames")</f>
        <v>City of Flames</v>
      </c>
      <c r="B50" s="2" t="str">
        <f>IFERROR(__xludf.DUMMYFUNCTION("""COMPUTED_VALUE"""),"This sprawling metropolis, forged entirely from roaring fire and molten stone, stands as a stark testament to the dominion of the Demon King and Demon Queen, the malevolent rulers who hold the realm in their fiery grasp. The origins of the City of Flames "&amp;"are a tale of rebellion, power, and the unforgiving allure of darkness.
Long before the City of Flames came into existence, Abstara was a realm of diverse landscapes and cosmic energies. It was a realm of both creation and destruction, where the forces o"&amp;"f light and darkness waged an eternal struggle. Among the entities that emerged from the shadows of the abyss were the Demon King and Demon Queen, powerful beings who sought to claim Abstara as their domain.
These two demonic figures, whose names have be"&amp;"en lost to time, possessed immense power over the flames and shadows that danced through the realm. Their ambitions were fueled by a thirst for dominance and the desire to reshape Abstara in their image. With dark sorcery and relentless cunning, they rall"&amp;"ied legions of lesser demons to their cause, waging war against the celestial forces of light that sought to maintain the balance.
As their forces clashed in a cataclysmic battle that shook the very foundations of Abstara, the Demon King and Queen unveil"&amp;"ed a plan that would forever alter the course of the realm's history. Drawing upon their mastery over fire, they summoned forth an inferno of such intensity that it consumed entire landscapes, leaving naught but ash in its wake. From the flames, they cons"&amp;"tructed the City of Flames, a city-size conflagration that defied the laws of nature and reality.
The City of Flames became a manifestation of their dominion, a place where fire danced through the air like living beings and molten stone formed labyrinthi"&amp;"ne streets. The buildings themselves were forged from the very essence of heat, their architecture both awe-inspiring and terrifying. Amidst the towering inferno, the Demon King and Queen established their thrones, ruling with a malevolent authority that "&amp;"sent shivers through the hearts of even the bravest souls.
As time passed, the City of Flames grew, fueled not only by the demonic power of its rulers but also by the pain and suffering of those who dared to oppose them. The Demon King and Queen claimed "&amp;"countless souls, bending their wills and fanning the flames of chaos to new heights. The city's streets echoed with cries of torment and the eerie howling of the damned, creating a symphony of suffering that bore witness to the dark rulers' dominance.
In"&amp;" the present day, the City of Flames stands as a testament to the unchecked power of darkness and the enduring struggle between light and shadow. The inferno burns eternal, a stark reminder of the cost of rebellion and the seductive allure of power. The C"&amp;"ity of Flames serves as a chilling backdrop to the realm of Abstara, a place where the fiery dance of destruction and creation plays out, and the malevolent rulers who forged its existence continue to exert their infernal control over their realm of flame"&amp;"s and shadows.")</f>
        <v>This sprawling metropolis, forged entirely from roaring fire and molten stone, stands as a stark testament to the dominion of the Demon King and Demon Queen, the malevolent rulers who hold the realm in their fiery grasp. The origins of the City of Flames are a tale of rebellion, power, and the unforgiving allure of darkness.
Long before the City of Flames came into existence, Abstara was a realm of diverse landscapes and cosmic energies. It was a realm of both creation and destruction, where the forces of light and darkness waged an eternal struggle. Among the entities that emerged from the shadows of the abyss were the Demon King and Demon Queen, powerful beings who sought to claim Abstara as their domain.
These two demonic figures, whose names have been lost to time, possessed immense power over the flames and shadows that danced through the realm. Their ambitions were fueled by a thirst for dominance and the desire to reshape Abstara in their image. With dark sorcery and relentless cunning, they rallied legions of lesser demons to their cause, waging war against the celestial forces of light that sought to maintain the balance.
As their forces clashed in a cataclysmic battle that shook the very foundations of Abstara, the Demon King and Queen unveiled a plan that would forever alter the course of the realm's history. Drawing upon their mastery over fire, they summoned forth an inferno of such intensity that it consumed entire landscapes, leaving naught but ash in its wake. From the flames, they constructed the City of Flames, a city-size conflagration that defied the laws of nature and reality.
The City of Flames became a manifestation of their dominion, a place where fire danced through the air like living beings and molten stone formed labyrinthine streets. The buildings themselves were forged from the very essence of heat, their architecture both awe-inspiring and terrifying. Amidst the towering inferno, the Demon King and Queen established their thrones, ruling with a malevolent authority that sent shivers through the hearts of even the bravest souls.
As time passed, the City of Flames grew, fueled not only by the demonic power of its rulers but also by the pain and suffering of those who dared to oppose them. The Demon King and Queen claimed countless souls, bending their wills and fanning the flames of chaos to new heights. The city's streets echoed with cries of torment and the eerie howling of the damned, creating a symphony of suffering that bore witness to the dark rulers' dominance.
In the present day, the City of Flames stands as a testament to the unchecked power of darkness and the enduring struggle between light and shadow. The inferno burns eternal, a stark reminder of the cost of rebellion and the seductive allure of power. The City of Flames serves as a chilling backdrop to the realm of Abstara, a place where the fiery dance of destruction and creation plays out, and the malevolent rulers who forged its existence continue to exert their infernal control over their realm of flames and shadows.</v>
      </c>
      <c r="C50" s="2" t="str">
        <f>IFERROR(__xludf.DUMMYFUNCTION("""COMPUTED_VALUE"""),"Abstara")</f>
        <v>Abstara</v>
      </c>
      <c r="D50" s="2"/>
      <c r="E50" s="16">
        <f>IFERROR(__xludf.DUMMYFUNCTION("""COMPUTED_VALUE"""),1.0E9)</f>
        <v>1000000000</v>
      </c>
      <c r="F50" s="2" t="str">
        <f>IFERROR(__xludf.DUMMYFUNCTION("""COMPUTED_VALUE"""),"UndeadCoin")</f>
        <v>UndeadCoin</v>
      </c>
      <c r="G50" s="2"/>
      <c r="H50" s="2"/>
      <c r="I50" s="2"/>
      <c r="J50" s="2"/>
      <c r="K50" s="2"/>
      <c r="L50" s="2"/>
      <c r="M50" s="2"/>
      <c r="N50" s="2"/>
      <c r="O50" s="2"/>
      <c r="P50" s="2"/>
      <c r="Q50" s="2"/>
      <c r="R50" s="2"/>
      <c r="S50" s="2"/>
      <c r="T50" s="2"/>
      <c r="U50" s="2"/>
      <c r="V50" s="2"/>
      <c r="W50" s="2"/>
      <c r="X50" s="2"/>
      <c r="Y50" s="2"/>
      <c r="Z50" s="2"/>
    </row>
    <row r="51">
      <c r="A51" s="2" t="str">
        <f>IFERROR(__xludf.DUMMYFUNCTION("""COMPUTED_VALUE"""),"City of Undying")</f>
        <v>City of Undying</v>
      </c>
      <c r="B51" s="2" t="str">
        <f>IFERROR(__xludf.DUMMYFUNCTION("""COMPUTED_VALUE"""),"This enigmatic city, hidden within the heart of Abstara's abyssal depths, holds secrets that reach back to the dawn of creation and offer glimpses into a future yet to unfold.
Long before the City of Undying came into existence, Abstara was a realm teemi"&amp;"ng with cosmic energies, a crucible of creation and destruction where forces of light and darkness interplayed. Amidst this eternal dance, a being of unparalleled power emerged, known simply as the Eternal Sovereign. This entity, whose true form remained "&amp;"veiled in enigma, sought to create a bastion that transcended the limitations of time and mortality.
Drawing upon the very essence of Abstara itself, the Eternal Sovereign orchestrated the creation of the City of Undying. This city would stand as a testa"&amp;"ment to the ambition of defying the cycle of life and death. Its construction was a feat of magic, weaving threads of reality together with strands of the eternal. As the city took shape, its buildings rose like ethereal spires from the abyssal depths, fo"&amp;"rming a mesmerizing skyline that seemed to touch the very heavens.
The City of Undying became a realm where the boundaries of existence and non-existence blurred. Time flowed differently within its confines, its denizens existing in a state of perpetual "&amp;"twilight. Mortals who wandered into its realm found their lifespans prolonged, their aging slowed, and their connection to time itself altered. Yet, with this gift came a price – the city's inhabitants became bound to the City of Undying, unable to leave "&amp;"its ethereal embrace.
As the centuries passed, the Eternal Sovereign revealed themselves as a being that embodied the convergence of past, present, and future. They guided the inhabitants of the City of Undying, sharing visions of events yet to come and "&amp;"weaving together the threads of fate. The city became a place of knowledge and enlightenment, where scholars, mystics, and seekers of wisdom congregated to learn the secrets of time and eternity.
However, not all embraced the city's gifts willingly. Some"&amp;" sought to escape its ethereal grasp, believing that true existence lay beyond its boundaries. A group of these rebels, known as the Forsaken, discovered ancient texts that hinted at the city's origins and the consequences of defying the cosmic order. Dri"&amp;"ven by their desire for freedom, they attempted to tear down the city's enchantments and release its inhabitants from their eternal bonds.
In response to the Forsaken's rebellion, the Eternal Sovereign's power surged. A cataclysmic clash between the defe"&amp;"nders of the city and the rebels tore through the fabric of reality itself, causing ripples that resonated throughout Abstara. The Forsaken were defeated, their aspirations of liberation shattered, and the city's defenses fortified. The Eternal Sovereign,"&amp;" their true nature still veiled, emerged as both protector and arbiter of the city's fate.
In the present era, the City of Undying remains a realm of twilight and enigma. Its streets are alive with the hum of arcane energies and the whispers of the futur"&amp;"e. The inhabitants, forever bound to the city's embrace, continue to seek knowledge and purpose in a world where time bends to their very will. The City of Undying stands as a convergence of past and future, a nexus where the threads of destiny are woven "&amp;"and the eternal dance of existence unfolds in ways that defy comprehension.")</f>
        <v>This enigmatic city, hidden within the heart of Abstara's abyssal depths, holds secrets that reach back to the dawn of creation and offer glimpses into a future yet to unfold.
Long before the City of Undying came into existence, Abstara was a realm teeming with cosmic energies, a crucible of creation and destruction where forces of light and darkness interplayed. Amidst this eternal dance, a being of unparalleled power emerged, known simply as the Eternal Sovereign. This entity, whose true form remained veiled in enigma, sought to create a bastion that transcended the limitations of time and mortality.
Drawing upon the very essence of Abstara itself, the Eternal Sovereign orchestrated the creation of the City of Undying. This city would stand as a testament to the ambition of defying the cycle of life and death. Its construction was a feat of magic, weaving threads of reality together with strands of the eternal. As the city took shape, its buildings rose like ethereal spires from the abyssal depths, forming a mesmerizing skyline that seemed to touch the very heavens.
The City of Undying became a realm where the boundaries of existence and non-existence blurred. Time flowed differently within its confines, its denizens existing in a state of perpetual twilight. Mortals who wandered into its realm found their lifespans prolonged, their aging slowed, and their connection to time itself altered. Yet, with this gift came a price – the city's inhabitants became bound to the City of Undying, unable to leave its ethereal embrace.
As the centuries passed, the Eternal Sovereign revealed themselves as a being that embodied the convergence of past, present, and future. They guided the inhabitants of the City of Undying, sharing visions of events yet to come and weaving together the threads of fate. The city became a place of knowledge and enlightenment, where scholars, mystics, and seekers of wisdom congregated to learn the secrets of time and eternity.
However, not all embraced the city's gifts willingly. Some sought to escape its ethereal grasp, believing that true existence lay beyond its boundaries. A group of these rebels, known as the Forsaken, discovered ancient texts that hinted at the city's origins and the consequences of defying the cosmic order. Driven by their desire for freedom, they attempted to tear down the city's enchantments and release its inhabitants from their eternal bonds.
In response to the Forsaken's rebellion, the Eternal Sovereign's power surged. A cataclysmic clash between the defenders of the city and the rebels tore through the fabric of reality itself, causing ripples that resonated throughout Abstara. The Forsaken were defeated, their aspirations of liberation shattered, and the city's defenses fortified. The Eternal Sovereign, their true nature still veiled, emerged as both protector and arbiter of the city's fate.
In the present era, the City of Undying remains a realm of twilight and enigma. Its streets are alive with the hum of arcane energies and the whispers of the future. The inhabitants, forever bound to the city's embrace, continue to seek knowledge and purpose in a world where time bends to their very will. The City of Undying stands as a convergence of past and future, a nexus where the threads of destiny are woven and the eternal dance of existence unfolds in ways that defy comprehension.</v>
      </c>
      <c r="C51" s="2" t="str">
        <f>IFERROR(__xludf.DUMMYFUNCTION("""COMPUTED_VALUE"""),"Abstara")</f>
        <v>Abstara</v>
      </c>
      <c r="D51" s="2"/>
      <c r="E51" s="16">
        <f>IFERROR(__xludf.DUMMYFUNCTION("""COMPUTED_VALUE"""),1.0E9)</f>
        <v>1000000000</v>
      </c>
      <c r="F51" s="2" t="str">
        <f>IFERROR(__xludf.DUMMYFUNCTION("""COMPUTED_VALUE"""),"UndeadCoin")</f>
        <v>UndeadCoin</v>
      </c>
      <c r="G51" s="2"/>
      <c r="H51" s="2"/>
      <c r="I51" s="2"/>
      <c r="J51" s="2"/>
      <c r="K51" s="2"/>
      <c r="L51" s="2"/>
      <c r="M51" s="2"/>
      <c r="N51" s="2"/>
      <c r="O51" s="2"/>
      <c r="P51" s="2"/>
      <c r="Q51" s="2"/>
      <c r="R51" s="2"/>
      <c r="S51" s="2"/>
      <c r="T51" s="2"/>
      <c r="U51" s="2"/>
      <c r="V51" s="2"/>
      <c r="W51" s="2"/>
      <c r="X51" s="2"/>
      <c r="Y51" s="2"/>
      <c r="Z51" s="2"/>
    </row>
    <row r="52">
      <c r="A52" s="2" t="str">
        <f>IFERROR(__xludf.DUMMYFUNCTION("""COMPUTED_VALUE"""),"Ember Ocean")</f>
        <v>Ember Ocean</v>
      </c>
      <c r="B52" s="2" t="str">
        <f>IFERROR(__xludf.DUMMYFUNCTION("""COMPUTED_VALUE"""),"This ocean of molten lava, a tumultuous sea of heat and destruction, holds the tales of both creation and cataclysm. At its heart lies a guardian unlike any other – a massive volcanic clam that embodies the balance between the ocean's relentless fury and "&amp;"the calm depths beneath.
In the earliest epochs of Abstara's existence, the world was an ever-changing canvas of raw elements. The Ember Ocean was born from the confluence of intense volcanic activity and the primal forces that shaped the landscape. Molt"&amp;"en rock and fire surged forth, carving out a vast expanse of fiery seas that burned with the intensity of a star's heart. This ocean of lava was a reflection of the world's volatile nature, a testament to its capacity for both beauty and devastation.
As "&amp;"the ages passed, Abstara's denizens learned to harness the Ember Ocean's heat for their own purposes. Ancient civilizations found a way to channel its energy, forging weapons and artifacts of unparalleled power. Yet, in their hubris, they also awakened do"&amp;"rmant forces that resided within the depths of the fiery ocean. These forces, primordial spirits of flame and chaos, began to stir, threatening to unleash untold destruction upon the realm.
In response to this growing threat, an order of elemental guardi"&amp;"ans arose. Among them, a powerful volcanic clam known as Pyroshell emerged as the protector of the Ember Ocean. Created by the fusion of ancient magic and the ocean's fiery essence, Pyroshell embodied the very nature of the ocean it guarded. Its massive s"&amp;"hell was adorned with patterns reminiscent of molten rock, and its interior glowed with an inner fire that could rival the sun.
Pyroshell's presence within the Ember Ocean brought a semblance of balance. Its guardianship ensured that the elemental forces"&amp;" remained in check, preventing catastrophic eruptions that could have reshaped the world. The clam's wisdom was sought by scholars and adventurers alike, those who wished to tap into the ocean's power while respecting its volatile nature.
However, as the"&amp;" eons passed, the Ember Ocean also became a place of intrigue for those who sought to harness its raw energy for their own purposes. Among them was a faction of mages who believed they could harness the ocean's power to reshape the realm according to thei"&amp;"r desires. These mages, known as the Flamebound Cabal, saw Pyroshell as an obstacle standing between them and their ambitions.
In a cataclysmic confrontation that spanned both the physical and metaphysical realms, the Flamebound Cabal sought to overpower"&amp;" Pyroshell's guardianship and seize control of the Ember Ocean. The ensuing clash unleashed a storm of fire and destruction that threatened to engulf Abstara itself. Pyroshell, fueled by its determination to protect the realm, fought back with a fury that"&amp;" rivaled the very ocean it guarded.
Ultimately, Pyroshell prevailed, banishing the Flamebound Cabal and reasserting its control over the Ember Ocean. The clam's valiant stand left an indelible mark on the ocean's fiery depths, ensuring that its guardians"&amp;"hip would never be questioned again. Today, the Ember Ocean stands as a testament to the elemental forces that shape Abstara's destiny, its molten waves and searing heat a reminder of both creation and destruction. And at its heart, Pyroshell continues it"&amp;"s eternal vigil, a guardian of balance and a symbol of the ocean's untamed power.")</f>
        <v>This ocean of molten lava, a tumultuous sea of heat and destruction, holds the tales of both creation and cataclysm. At its heart lies a guardian unlike any other – a massive volcanic clam that embodies the balance between the ocean's relentless fury and the calm depths beneath.
In the earliest epochs of Abstara's existence, the world was an ever-changing canvas of raw elements. The Ember Ocean was born from the confluence of intense volcanic activity and the primal forces that shaped the landscape. Molten rock and fire surged forth, carving out a vast expanse of fiery seas that burned with the intensity of a star's heart. This ocean of lava was a reflection of the world's volatile nature, a testament to its capacity for both beauty and devastation.
As the ages passed, Abstara's denizens learned to harness the Ember Ocean's heat for their own purposes. Ancient civilizations found a way to channel its energy, forging weapons and artifacts of unparalleled power. Yet, in their hubris, they also awakened dormant forces that resided within the depths of the fiery ocean. These forces, primordial spirits of flame and chaos, began to stir, threatening to unleash untold destruction upon the realm.
In response to this growing threat, an order of elemental guardians arose. Among them, a powerful volcanic clam known as Pyroshell emerged as the protector of the Ember Ocean. Created by the fusion of ancient magic and the ocean's fiery essence, Pyroshell embodied the very nature of the ocean it guarded. Its massive shell was adorned with patterns reminiscent of molten rock, and its interior glowed with an inner fire that could rival the sun.
Pyroshell's presence within the Ember Ocean brought a semblance of balance. Its guardianship ensured that the elemental forces remained in check, preventing catastrophic eruptions that could have reshaped the world. The clam's wisdom was sought by scholars and adventurers alike, those who wished to tap into the ocean's power while respecting its volatile nature.
However, as the eons passed, the Ember Ocean also became a place of intrigue for those who sought to harness its raw energy for their own purposes. Among them was a faction of mages who believed they could harness the ocean's power to reshape the realm according to their desires. These mages, known as the Flamebound Cabal, saw Pyroshell as an obstacle standing between them and their ambitions.
In a cataclysmic confrontation that spanned both the physical and metaphysical realms, the Flamebound Cabal sought to overpower Pyroshell's guardianship and seize control of the Ember Ocean. The ensuing clash unleashed a storm of fire and destruction that threatened to engulf Abstara itself. Pyroshell, fueled by its determination to protect the realm, fought back with a fury that rivaled the very ocean it guarded.
Ultimately, Pyroshell prevailed, banishing the Flamebound Cabal and reasserting its control over the Ember Ocean. The clam's valiant stand left an indelible mark on the ocean's fiery depths, ensuring that its guardianship would never be questioned again. Today, the Ember Ocean stands as a testament to the elemental forces that shape Abstara's destiny, its molten waves and searing heat a reminder of both creation and destruction. And at its heart, Pyroshell continues its eternal vigil, a guardian of balance and a symbol of the ocean's untamed power.</v>
      </c>
      <c r="C52" s="2" t="str">
        <f>IFERROR(__xludf.DUMMYFUNCTION("""COMPUTED_VALUE"""),"Abstara")</f>
        <v>Abstara</v>
      </c>
      <c r="D52" s="2"/>
      <c r="E52" s="16">
        <f>IFERROR(__xludf.DUMMYFUNCTION("""COMPUTED_VALUE"""),1.0E9)</f>
        <v>1000000000</v>
      </c>
      <c r="F52" s="2" t="str">
        <f>IFERROR(__xludf.DUMMYFUNCTION("""COMPUTED_VALUE"""),"UndeadCoin")</f>
        <v>UndeadCoin</v>
      </c>
      <c r="G52" s="2"/>
      <c r="H52" s="2"/>
      <c r="I52" s="2"/>
      <c r="J52" s="2"/>
      <c r="K52" s="2"/>
      <c r="L52" s="2"/>
      <c r="M52" s="2"/>
      <c r="N52" s="2"/>
      <c r="O52" s="2"/>
      <c r="P52" s="2"/>
      <c r="Q52" s="2"/>
      <c r="R52" s="2"/>
      <c r="S52" s="2"/>
      <c r="T52" s="2"/>
      <c r="U52" s="2"/>
      <c r="V52" s="2"/>
      <c r="W52" s="2"/>
      <c r="X52" s="2"/>
      <c r="Y52" s="2"/>
      <c r="Z52" s="2"/>
    </row>
    <row r="53">
      <c r="A53" s="2" t="str">
        <f>IFERROR(__xludf.DUMMYFUNCTION("""COMPUTED_VALUE"""),"Feral Empire")</f>
        <v>Feral Empire</v>
      </c>
      <c r="B53" s="2" t="str">
        <f>IFERROR(__xludf.DUMMYFUNCTION("""COMPUTED_VALUE"""),"This forsaken town stands as a testament to the insatiable hunger of creatures that walk the line between human and monster – werewolves and vampires. The Feral Empire's origins are steeped in blood, power, and the tragic intersection of two predatory spe"&amp;"cies.
Once, Abstara was a realm teeming with life and balance, a realm where both light and darkness coexisted in harmony. However, within the shadows lurked creatures of the night who hungered for more than mere sustenance. Among them were the werewolve"&amp;"s and vampires, two distinct species that had long been at odds.
As time passed, the tension between these two species reached a boiling point. A powerful vampire lord named Vaelar sought to claim dominion over the land, driven by a thirst for power and "&amp;"the desire to subjugate all who opposed him. Opposing Vaelar's ambitions were the lycanthropes, a proud and ferocious pack of werewolves led by their alpha, Lyssandra.
The conflict between the vampire lord and the lycanthropic pack erupted into a war tha"&amp;"t ravaged the land. The Feral Empire, a once-prosperous town that lay at the crossroads of both species' territories, became the epicenter of the battle. The town's streets were stained with the blood of both werewolves and vampires, its buildings reduced"&amp;" to rubble in the chaos.
Amidst the devastation, Lyssandra and Vaelar engaged in a final, cataclysmic confrontation. The clash of their powers shattered the very fabric of reality, tearing open a rift that merged their two species in ways neither had ant"&amp;"icipated. The town of Feral Empire was forever altered, becoming a place where the boundaries between werewolves and vampires blurred, creating hybrids who shared attributes of both species.
In the aftermath of the battle, the remnants of the town's popu"&amp;"lace found themselves transformed – no longer fully human, nor entirely monstrous. The Feral Empire became a place of perpetual night, where the moon's pale light and the glow of vampire eyes illuminated the darkened streets. The hybrids, driven by their "&amp;"dual natures, struggled to coexist and find their place in this new reality.
The Feral Empire quickly became a realm of chaos and survival, where both werewolves and vampires prowled the streets in search of prey. The town became a haven for those who em"&amp;"braced their predatory instincts, and a nightmare for those who sought to escape its grasp. The line between predator and prey grew thin, as the inhabitants of the Feral Empire found themselves both captors and captives in a never-ending cycle of hunting "&amp;"and being hunted.
In the present era, the Feral Empire stands as a twisted reflection of the war that birthed it. Its darkened streets are haunted by the echoes of battle and the scent of blood, a reminder of the price paid for power and dominance. Werew"&amp;"olves and vampires alike roam its shadows, driven by primal urges and the endless struggle for dominance. The Feral Empire is a realm of constant danger, where alliances shift like the moon's phases and survival is an ever-elusive prize. And amidst the ch"&amp;"aos, Lyssandra and Vaelar's legacy lives on, forever shaping the destiny of the Feral Empire and its tormented inhabitants.")</f>
        <v>This forsaken town stands as a testament to the insatiable hunger of creatures that walk the line between human and monster – werewolves and vampires. The Feral Empire's origins are steeped in blood, power, and the tragic intersection of two predatory species.
Once, Abstara was a realm teeming with life and balance, a realm where both light and darkness coexisted in harmony. However, within the shadows lurked creatures of the night who hungered for more than mere sustenance. Among them were the werewolves and vampires, two distinct species that had long been at odds.
As time passed, the tension between these two species reached a boiling point. A powerful vampire lord named Vaelar sought to claim dominion over the land, driven by a thirst for power and the desire to subjugate all who opposed him. Opposing Vaelar's ambitions were the lycanthropes, a proud and ferocious pack of werewolves led by their alpha, Lyssandra.
The conflict between the vampire lord and the lycanthropic pack erupted into a war that ravaged the land. The Feral Empire, a once-prosperous town that lay at the crossroads of both species' territories, became the epicenter of the battle. The town's streets were stained with the blood of both werewolves and vampires, its buildings reduced to rubble in the chaos.
Amidst the devastation, Lyssandra and Vaelar engaged in a final, cataclysmic confrontation. The clash of their powers shattered the very fabric of reality, tearing open a rift that merged their two species in ways neither had anticipated. The town of Feral Empire was forever altered, becoming a place where the boundaries between werewolves and vampires blurred, creating hybrids who shared attributes of both species.
In the aftermath of the battle, the remnants of the town's populace found themselves transformed – no longer fully human, nor entirely monstrous. The Feral Empire became a place of perpetual night, where the moon's pale light and the glow of vampire eyes illuminated the darkened streets. The hybrids, driven by their dual natures, struggled to coexist and find their place in this new reality.
The Feral Empire quickly became a realm of chaos and survival, where both werewolves and vampires prowled the streets in search of prey. The town became a haven for those who embraced their predatory instincts, and a nightmare for those who sought to escape its grasp. The line between predator and prey grew thin, as the inhabitants of the Feral Empire found themselves both captors and captives in a never-ending cycle of hunting and being hunted.
In the present era, the Feral Empire stands as a twisted reflection of the war that birthed it. Its darkened streets are haunted by the echoes of battle and the scent of blood, a reminder of the price paid for power and dominance. Werewolves and vampires alike roam its shadows, driven by primal urges and the endless struggle for dominance. The Feral Empire is a realm of constant danger, where alliances shift like the moon's phases and survival is an ever-elusive prize. And amidst the chaos, Lyssandra and Vaelar's legacy lives on, forever shaping the destiny of the Feral Empire and its tormented inhabitants.</v>
      </c>
      <c r="C53" s="2" t="str">
        <f>IFERROR(__xludf.DUMMYFUNCTION("""COMPUTED_VALUE"""),"Abstara")</f>
        <v>Abstara</v>
      </c>
      <c r="D53" s="2"/>
      <c r="E53" s="16">
        <f>IFERROR(__xludf.DUMMYFUNCTION("""COMPUTED_VALUE"""),1.0E9)</f>
        <v>1000000000</v>
      </c>
      <c r="F53" s="2" t="str">
        <f>IFERROR(__xludf.DUMMYFUNCTION("""COMPUTED_VALUE"""),"UndeadCoin")</f>
        <v>UndeadCoin</v>
      </c>
      <c r="G53" s="2"/>
      <c r="H53" s="2"/>
      <c r="I53" s="2"/>
      <c r="J53" s="2"/>
      <c r="K53" s="2"/>
      <c r="L53" s="2"/>
      <c r="M53" s="2"/>
      <c r="N53" s="2"/>
      <c r="O53" s="2"/>
      <c r="P53" s="2"/>
      <c r="Q53" s="2"/>
      <c r="R53" s="2"/>
      <c r="S53" s="2"/>
      <c r="T53" s="2"/>
      <c r="U53" s="2"/>
      <c r="V53" s="2"/>
      <c r="W53" s="2"/>
      <c r="X53" s="2"/>
      <c r="Y53" s="2"/>
      <c r="Z53" s="2"/>
    </row>
    <row r="54">
      <c r="A54" s="2" t="str">
        <f>IFERROR(__xludf.DUMMYFUNCTION("""COMPUTED_VALUE"""),"Gargoyle Fortress")</f>
        <v>Gargoyle Fortress</v>
      </c>
      <c r="B54" s="2" t="str">
        <f>IFERROR(__xludf.DUMMYFUNCTION("""COMPUTED_VALUE"""),"This remarkable city, nestled amidst the clouds and borne upon the wings of stone, is a testament to the guardianship of a unique and ancient species – the gargoyles. The origins of the Gargoyle Fortress are steeped in alliance, valor, and a deep-rooted c"&amp;"onnection to the realm's mystical forces.
In the early epochs of Abstara's existence, the world was a place of untamed magic and myriad wonders. It was during this time that the gargoyles, mystical creatures sculpted from enchanted stone, emerged as both"&amp;" defenders of the land and stewards of its natural harmony. Gifted with the ability to soar through the skies on mighty wings and gifted with a deep attunement to the realm's energies, the gargoyles quickly established themselves as guardians of Abstara's"&amp;" beauty.
As Abstara's landscape shifted and evolved, the gargoyles found their purpose in protecting its many landscapes and inhabitants. Their keen eyes and fierce loyalty made them natural sentinels, ever watchful for signs of encroaching danger. Throu"&amp;"gh centuries of dedication, the gargoyles forged a strong alliance with the land's inhabitants, humans and creatures alike, forming a bond that transcended species.
However, the harmony was not to last. An epoch of darkness and turmoil arose as malevolen"&amp;"t forces sought to unravel the balance that the gargoyles and their allies had worked so diligently to maintain. A formidable threat known as the Obsidian Cabal, a group of sorcerers who sought to harness the realm's magic for their own power-hungry ambit"&amp;"ions, emerged to challenge the guardians of Abstara.
In response to the rising threat, the gargoyles and their allies rallied together to form the Gargoyle Fortress. The fortress was a marvel of magical architecture, suspended amidst the clouds and carve"&amp;"d from the very essence of the realm. Its towering spires and intricate stonework melded seamlessly with the natural beauty of the skies. Here, the guardians of the realm united their strengths, forging a stronghold that served as a beacon of hope against"&amp;" the encroaching darkness.
The ensuing conflict between the Obsidian Cabal and the guardians of the Gargoyle Fortress was a cataclysmic clash of magic and might. The skies became a battleground, with gargoyles swooping through the clouds, their stone for"&amp;"ms pulsating with energy as they defied gravity itself. Their allies, armed with ancient artifacts and unwavering resolve, stood side by side with the guardians, channeling the very essence of Abstara's magic to repel the dark sorcery of the Cabal.
In a "&amp;"climactic confrontation that spanned the realms of the physical and the metaphysical, the Gargoyle Fortress emerged victorious. With a final, resounding surge of magic, the Obsidian Cabal was vanquished, their dark ambitions thwarted. The gargoyles and th"&amp;"eir allies had defended Abstara's balance once more, and the Gargoyle Fortress stood as a symbol of their unity and strength.
In the present era, the Gargoyle Fortress remains a beacon of protection and alliance. Its soaring spires and vigilant gargoyles"&amp;" patrol the skies, their watchful eyes scanning the horizon for any sign of trouble. The city stands as a testament to the power of unity and the unbreakable bond between the creatures of Abstara and their mystical guardians. It serves as a reminder that "&amp;"even in the face of darkness, harmony and valor can prevail, and the skies can be a sanctuary watched over by the steadfast guardians of the Gargoyle Fortress.")</f>
        <v>This remarkable city, nestled amidst the clouds and borne upon the wings of stone, is a testament to the guardianship of a unique and ancient species – the gargoyles. The origins of the Gargoyle Fortress are steeped in alliance, valor, and a deep-rooted connection to the realm's mystical forces.
In the early epochs of Abstara's existence, the world was a place of untamed magic and myriad wonders. It was during this time that the gargoyles, mystical creatures sculpted from enchanted stone, emerged as both defenders of the land and stewards of its natural harmony. Gifted with the ability to soar through the skies on mighty wings and gifted with a deep attunement to the realm's energies, the gargoyles quickly established themselves as guardians of Abstara's beauty.
As Abstara's landscape shifted and evolved, the gargoyles found their purpose in protecting its many landscapes and inhabitants. Their keen eyes and fierce loyalty made them natural sentinels, ever watchful for signs of encroaching danger. Through centuries of dedication, the gargoyles forged a strong alliance with the land's inhabitants, humans and creatures alike, forming a bond that transcended species.
However, the harmony was not to last. An epoch of darkness and turmoil arose as malevolent forces sought to unravel the balance that the gargoyles and their allies had worked so diligently to maintain. A formidable threat known as the Obsidian Cabal, a group of sorcerers who sought to harness the realm's magic for their own power-hungry ambitions, emerged to challenge the guardians of Abstara.
In response to the rising threat, the gargoyles and their allies rallied together to form the Gargoyle Fortress. The fortress was a marvel of magical architecture, suspended amidst the clouds and carved from the very essence of the realm. Its towering spires and intricate stonework melded seamlessly with the natural beauty of the skies. Here, the guardians of the realm united their strengths, forging a stronghold that served as a beacon of hope against the encroaching darkness.
The ensuing conflict between the Obsidian Cabal and the guardians of the Gargoyle Fortress was a cataclysmic clash of magic and might. The skies became a battleground, with gargoyles swooping through the clouds, their stone forms pulsating with energy as they defied gravity itself. Their allies, armed with ancient artifacts and unwavering resolve, stood side by side with the guardians, channeling the very essence of Abstara's magic to repel the dark sorcery of the Cabal.
In a climactic confrontation that spanned the realms of the physical and the metaphysical, the Gargoyle Fortress emerged victorious. With a final, resounding surge of magic, the Obsidian Cabal was vanquished, their dark ambitions thwarted. The gargoyles and their allies had defended Abstara's balance once more, and the Gargoyle Fortress stood as a symbol of their unity and strength.
In the present era, the Gargoyle Fortress remains a beacon of protection and alliance. Its soaring spires and vigilant gargoyles patrol the skies, their watchful eyes scanning the horizon for any sign of trouble. The city stands as a testament to the power of unity and the unbreakable bond between the creatures of Abstara and their mystical guardians. It serves as a reminder that even in the face of darkness, harmony and valor can prevail, and the skies can be a sanctuary watched over by the steadfast guardians of the Gargoyle Fortress.</v>
      </c>
      <c r="C54" s="2" t="str">
        <f>IFERROR(__xludf.DUMMYFUNCTION("""COMPUTED_VALUE"""),"Abstara")</f>
        <v>Abstara</v>
      </c>
      <c r="D54" s="2"/>
      <c r="E54" s="16">
        <f>IFERROR(__xludf.DUMMYFUNCTION("""COMPUTED_VALUE"""),1.0E9)</f>
        <v>1000000000</v>
      </c>
      <c r="F54" s="2" t="str">
        <f>IFERROR(__xludf.DUMMYFUNCTION("""COMPUTED_VALUE"""),"UndeadCoin")</f>
        <v>UndeadCoin</v>
      </c>
      <c r="G54" s="2"/>
      <c r="H54" s="2"/>
      <c r="I54" s="2"/>
      <c r="J54" s="2"/>
      <c r="K54" s="2"/>
      <c r="L54" s="2"/>
      <c r="M54" s="2"/>
      <c r="N54" s="2"/>
      <c r="O54" s="2"/>
      <c r="P54" s="2"/>
      <c r="Q54" s="2"/>
      <c r="R54" s="2"/>
      <c r="S54" s="2"/>
      <c r="T54" s="2"/>
      <c r="U54" s="2"/>
      <c r="V54" s="2"/>
      <c r="W54" s="2"/>
      <c r="X54" s="2"/>
      <c r="Y54" s="2"/>
      <c r="Z54" s="2"/>
    </row>
    <row r="55">
      <c r="A55" s="2" t="str">
        <f>IFERROR(__xludf.DUMMYFUNCTION("""COMPUTED_VALUE"""),"Land of The Banished")</f>
        <v>Land of The Banished</v>
      </c>
      <c r="B55" s="2" t="str">
        <f>IFERROR(__xludf.DUMMYFUNCTION("""COMPUTED_VALUE"""),"This forsaken expanse, shrouded in an eternal twilight, stands as a realm of exile and retribution, ruled by a mysterious and enigmatic figure known only as the Keeper of the Banished. The origins of this grim land are a tale of justice, punishment, and t"&amp;"he delicate balance between power and consequence.
In Abstara's earliest days, when the world's creation was still a symphony of cosmic energies, a being known as the Keeper of the Banished emerged. Possessing an ancient and ancient wisdom that spanned c"&amp;"ountless lifetimes, the Keeper took on the mantle of overseeing the realms where the exiled and the condemned would find themselves – the Land of The Banished.
The Land of The Banished was not a realm of traditional landscapes, but rather an ethereal lan"&amp;"dscape shaped by the thoughts and emotions of its inhabitants. It was a place beyond the boundaries of the known world, where the exiled and those who transgressed against the cosmic balance were cast. Here, their fates were intertwined, their stories wov"&amp;"en into the very fabric of the land itself.
The Keeper's crypt, a soul-bound sanctum, served as the heart of the Land of The Banished. Within its hallowed chambers, the Keeper held the souls of those banished, preserved in crystalline vials that bore wit"&amp;"ness to their deeds and transgressions. A vile necklace, encrusted with these vials, hung heavy around the Keeper's neck, a visible symbol of his authority and the weight of judgment he carried.
Over the ages, the Land of The Banished became a realm of r"&amp;"eflection and redemption, a place where souls were offered the opportunity to seek absolution for their misdeeds. The exiled found themselves navigating the shifting landscapes, facing trials and challenges that tested their resolve and illuminated the pa"&amp;"ths they had taken in their past lives. Some embraced the opportunity to atone, while others remained trapped in cycles of darkness and despair.
Yet, not all were content with their exile. In the shadows of the Land of The Banished, whispers of rebellion"&amp;" began to stir. A group of exiled beings, united by a shared desire to escape the realm's clutches, sought to challenge the Keeper's dominion and break free from their eternal confinement. They sought the power of the crystalline vials, believing that by "&amp;"possessing them, they could reshape their fates and reclaim their place in the world.
The confrontation between the rebels and the Keeper was a clash of wills that echoed through the ethereal landscape. The rebels, driven by desperation and a longing for"&amp;" freedom, challenged the Keeper's authority, seeking to shatter the vials and rewrite their destinies. The Keeper, bound by his duty to maintain the balance, confronted the rebels with a resolve that stemmed from millennia of experience.
In a final confr"&amp;"ontation that spanned the boundaries of time and reality, the Keeper faced the rebels in the heart of the soul-bound crypt. The clash of their powers reverberated through the Land of The Banished, the very land itself echoing their struggles. Ultimately, "&amp;"the Keeper emerged victorious, preserving the delicate balance between justice and redemption.
In the present era, the Land of The Banished remains a realm of exile and reflection. Its shifting landscapes and crystalline vials hold the stories of souls b"&amp;"oth condemned and seeking absolution. The Keeper of the Banished stands as a sentinel of balance, ensuring that the scales of justice remain unwavering. And as the exiled navigate the trials of the realm, they come to understand the intricate dance of fat"&amp;"e, choice, and the eternal quest for redemption in the Land of The Banished.")</f>
        <v>This forsaken expanse, shrouded in an eternal twilight, stands as a realm of exile and retribution, ruled by a mysterious and enigmatic figure known only as the Keeper of the Banished. The origins of this grim land are a tale of justice, punishment, and the delicate balance between power and consequence.
In Abstara's earliest days, when the world's creation was still a symphony of cosmic energies, a being known as the Keeper of the Banished emerged. Possessing an ancient and ancient wisdom that spanned countless lifetimes, the Keeper took on the mantle of overseeing the realms where the exiled and the condemned would find themselves – the Land of The Banished.
The Land of The Banished was not a realm of traditional landscapes, but rather an ethereal landscape shaped by the thoughts and emotions of its inhabitants. It was a place beyond the boundaries of the known world, where the exiled and those who transgressed against the cosmic balance were cast. Here, their fates were intertwined, their stories woven into the very fabric of the land itself.
The Keeper's crypt, a soul-bound sanctum, served as the heart of the Land of The Banished. Within its hallowed chambers, the Keeper held the souls of those banished, preserved in crystalline vials that bore witness to their deeds and transgressions. A vile necklace, encrusted with these vials, hung heavy around the Keeper's neck, a visible symbol of his authority and the weight of judgment he carried.
Over the ages, the Land of The Banished became a realm of reflection and redemption, a place where souls were offered the opportunity to seek absolution for their misdeeds. The exiled found themselves navigating the shifting landscapes, facing trials and challenges that tested their resolve and illuminated the paths they had taken in their past lives. Some embraced the opportunity to atone, while others remained trapped in cycles of darkness and despair.
Yet, not all were content with their exile. In the shadows of the Land of The Banished, whispers of rebellion began to stir. A group of exiled beings, united by a shared desire to escape the realm's clutches, sought to challenge the Keeper's dominion and break free from their eternal confinement. They sought the power of the crystalline vials, believing that by possessing them, they could reshape their fates and reclaim their place in the world.
The confrontation between the rebels and the Keeper was a clash of wills that echoed through the ethereal landscape. The rebels, driven by desperation and a longing for freedom, challenged the Keeper's authority, seeking to shatter the vials and rewrite their destinies. The Keeper, bound by his duty to maintain the balance, confronted the rebels with a resolve that stemmed from millennia of experience.
In a final confrontation that spanned the boundaries of time and reality, the Keeper faced the rebels in the heart of the soul-bound crypt. The clash of their powers reverberated through the Land of The Banished, the very land itself echoing their struggles. Ultimately, the Keeper emerged victorious, preserving the delicate balance between justice and redemption.
In the present era, the Land of The Banished remains a realm of exile and reflection. Its shifting landscapes and crystalline vials hold the stories of souls both condemned and seeking absolution. The Keeper of the Banished stands as a sentinel of balance, ensuring that the scales of justice remain unwavering. And as the exiled navigate the trials of the realm, they come to understand the intricate dance of fate, choice, and the eternal quest for redemption in the Land of The Banished.</v>
      </c>
      <c r="C55" s="2" t="str">
        <f>IFERROR(__xludf.DUMMYFUNCTION("""COMPUTED_VALUE"""),"Abstara")</f>
        <v>Abstara</v>
      </c>
      <c r="D55" s="2"/>
      <c r="E55" s="16">
        <f>IFERROR(__xludf.DUMMYFUNCTION("""COMPUTED_VALUE"""),1.0E9)</f>
        <v>1000000000</v>
      </c>
      <c r="F55" s="2" t="str">
        <f>IFERROR(__xludf.DUMMYFUNCTION("""COMPUTED_VALUE"""),"UndeadCoin")</f>
        <v>UndeadCoin</v>
      </c>
      <c r="G55" s="2"/>
      <c r="H55" s="2"/>
      <c r="I55" s="2"/>
      <c r="J55" s="2"/>
      <c r="K55" s="2"/>
      <c r="L55" s="2"/>
      <c r="M55" s="2"/>
      <c r="N55" s="2"/>
      <c r="O55" s="2"/>
      <c r="P55" s="2"/>
      <c r="Q55" s="2"/>
      <c r="R55" s="2"/>
      <c r="S55" s="2"/>
      <c r="T55" s="2"/>
      <c r="U55" s="2"/>
      <c r="V55" s="2"/>
      <c r="W55" s="2"/>
      <c r="X55" s="2"/>
      <c r="Y55" s="2"/>
      <c r="Z55" s="2"/>
    </row>
    <row r="56">
      <c r="A56" s="2" t="str">
        <f>IFERROR(__xludf.DUMMYFUNCTION("""COMPUTED_VALUE"""),"Land of The Demons")</f>
        <v>Land of The Demons</v>
      </c>
      <c r="B56" s="2" t="str">
        <f>IFERROR(__xludf.DUMMYFUNCTION("""COMPUTED_VALUE"""),"This accursed realm, a cauldron of hatred and revenge, stands as a crucible for the world's most formidable demons and entities. The origins of this nightmarish domain are a tale of corruption, power, and the insidious allure of darkness.
Long before the"&amp;" Land of The Demons emerged, Abstara was a realm of delicate balance, where the interplay between light and darkness defined the world's nature. Yet, even in the earliest epochs, the seeds of malevolence were sown in the hearts of certain entities. Among "&amp;"these entities, the most ancient and formidable were the demons, creatures born from the darkest abyss of the realm.
Over time, these demons grew in power and malevolence, driven by an insatiable hunger for dominance and control. As their strength and nu"&amp;"mbers multiplied, they sought to break free from the constraints of Abstara's balance and create a realm where their dark desires could reign supreme. Their combined malice festered, forming a nexus of hatred that birthed the Land of The Demons – a realm "&amp;"where malevolent energies ran wild and unchecked.
The Land of The Demons became a twisted landscape, where the very land bore the scars of corruption and the air was thick with the stench of maleficence. Its skies were forever shrouded in darkness, and i"&amp;"ts inhabitants reveled in the endless cycle of hatred and revenge. The most powerful demons and entities from across Abstara were drawn to this realm, their power growing stronger in the presence of the dark energies that permeated the land.
As the Land "&amp;"of The Demons solidified its grip on existence, a powerful entity known as the Archdemon rose to dominance. This entity, a malevolent force beyond comprehension, wielded the collective power of the demons as its own. Its form was a shifting mass of darkne"&amp;"ss and despair, its eyes gleaming with an infernal intelligence that sought to consume all in its path.
Under the rule of the Archdemon, the Land of The Demons became a nightmarish realm of chaos and destruction. The realm's inhabitants – a legion of dem"&amp;"ons and entities fueled by hatred and revenge – waged war upon one another, their conflicts echoing through the land in a symphony of suffering. The very fabric of the realm was scarred by the battles, and the landscape itself seemed to writhe in agony.
"&amp;"As the ages passed, the Land of The Demons grew in power and notoriety. Its malevolent energies bled into the surrounding realms, corrupting the lands and souls nearby. Heroes and adventurers who dared to enter the realm rarely returned, their fates seale"&amp;"d by the insidious forces that gripped the land. The Land of The Demons became a place of legends and cautionary tales, a realm where even the bravest feared to tread.
In the present day, the Land of The Demons stands as a realm of unrelenting darkness, "&amp;"its skies forever cloaked in shadow, and its land tainted by the festering hatred that defines it. The Archdemon's dominance remains unchallenged, and the realm continues to be a beacon of malevolence in Abstara. Its existence serves as a reminder of the "&amp;"eternal struggle between light and darkness, and the depths to which even the most powerful entities can fall under the allure of revenge and power in the Land of The Demons.")</f>
        <v>This accursed realm, a cauldron of hatred and revenge, stands as a crucible for the world's most formidable demons and entities. The origins of this nightmarish domain are a tale of corruption, power, and the insidious allure of darkness.
Long before the Land of The Demons emerged, Abstara was a realm of delicate balance, where the interplay between light and darkness defined the world's nature. Yet, even in the earliest epochs, the seeds of malevolence were sown in the hearts of certain entities. Among these entities, the most ancient and formidable were the demons, creatures born from the darkest abyss of the realm.
Over time, these demons grew in power and malevolence, driven by an insatiable hunger for dominance and control. As their strength and numbers multiplied, they sought to break free from the constraints of Abstara's balance and create a realm where their dark desires could reign supreme. Their combined malice festered, forming a nexus of hatred that birthed the Land of The Demons – a realm where malevolent energies ran wild and unchecked.
The Land of The Demons became a twisted landscape, where the very land bore the scars of corruption and the air was thick with the stench of maleficence. Its skies were forever shrouded in darkness, and its inhabitants reveled in the endless cycle of hatred and revenge. The most powerful demons and entities from across Abstara were drawn to this realm, their power growing stronger in the presence of the dark energies that permeated the land.
As the Land of The Demons solidified its grip on existence, a powerful entity known as the Archdemon rose to dominance. This entity, a malevolent force beyond comprehension, wielded the collective power of the demons as its own. Its form was a shifting mass of darkness and despair, its eyes gleaming with an infernal intelligence that sought to consume all in its path.
Under the rule of the Archdemon, the Land of The Demons became a nightmarish realm of chaos and destruction. The realm's inhabitants – a legion of demons and entities fueled by hatred and revenge – waged war upon one another, their conflicts echoing through the land in a symphony of suffering. The very fabric of the realm was scarred by the battles, and the landscape itself seemed to writhe in agony.
As the ages passed, the Land of The Demons grew in power and notoriety. Its malevolent energies bled into the surrounding realms, corrupting the lands and souls nearby. Heroes and adventurers who dared to enter the realm rarely returned, their fates sealed by the insidious forces that gripped the land. The Land of The Demons became a place of legends and cautionary tales, a realm where even the bravest feared to tread.
In the present day, the Land of The Demons stands as a realm of unrelenting darkness, its skies forever cloaked in shadow, and its land tainted by the festering hatred that defines it. The Archdemon's dominance remains unchallenged, and the realm continues to be a beacon of malevolence in Abstara. Its existence serves as a reminder of the eternal struggle between light and darkness, and the depths to which even the most powerful entities can fall under the allure of revenge and power in the Land of The Demons.</v>
      </c>
      <c r="C56" s="2" t="str">
        <f>IFERROR(__xludf.DUMMYFUNCTION("""COMPUTED_VALUE"""),"Abstara")</f>
        <v>Abstara</v>
      </c>
      <c r="D56" s="2"/>
      <c r="E56" s="16">
        <f>IFERROR(__xludf.DUMMYFUNCTION("""COMPUTED_VALUE"""),1.0E9)</f>
        <v>1000000000</v>
      </c>
      <c r="F56" s="2" t="str">
        <f>IFERROR(__xludf.DUMMYFUNCTION("""COMPUTED_VALUE"""),"UndeadCoin")</f>
        <v>UndeadCoin</v>
      </c>
      <c r="G56" s="2"/>
      <c r="H56" s="2"/>
      <c r="I56" s="2"/>
      <c r="J56" s="2"/>
      <c r="K56" s="2"/>
      <c r="L56" s="2"/>
      <c r="M56" s="2"/>
      <c r="N56" s="2"/>
      <c r="O56" s="2"/>
      <c r="P56" s="2"/>
      <c r="Q56" s="2"/>
      <c r="R56" s="2"/>
      <c r="S56" s="2"/>
      <c r="T56" s="2"/>
      <c r="U56" s="2"/>
      <c r="V56" s="2"/>
      <c r="W56" s="2"/>
      <c r="X56" s="2"/>
      <c r="Y56" s="2"/>
      <c r="Z56" s="2"/>
    </row>
    <row r="57">
      <c r="A57" s="2" t="str">
        <f>IFERROR(__xludf.DUMMYFUNCTION("""COMPUTED_VALUE"""),"Satanic City")</f>
        <v>Satanic City</v>
      </c>
      <c r="B57" s="2" t="str">
        <f>IFERROR(__xludf.DUMMYFUNCTION("""COMPUTED_VALUE"""),"This sprawling metropolis, a testament to the infernal might that can shape worlds, serves as a haven for those who revere the malevolent deity known as Satan. The city's origins are woven from rebellion, worship, and the symbiotic relationship between po"&amp;"wer and servitude.
Before the Satanic City's rise, Abstara was a realm of both light and darkness, a cosmic tapestry where opposing forces vied for dominion. Amid this struggle, there emerged an entity known as Satan, a deity of shadow and power who cast"&amp;" an irresistible allure over those drawn to his infernal energies. Those who sought his favor were granted forbidden knowledge and otherworldly abilities, their loyalty solidified in blood oaths and unholy pacts.
As time passed, the faithful of Satan gat"&amp;"hered in secret, drawn to the deity's promises of power and dominion over both the physical and spiritual realms. These disciples, known as the Coven of Shadows, sought to create a city where their devotion to Satan could thrive without fear of persecutio"&amp;"n. Guided by dark rituals and infernal magic, they fashioned the Satanic City from the very essence of the abyss itself.
The city's architecture reflected the dark beauty of its inhabitants' souls. Towers and spires soared into the heavens, adorned with "&amp;"demonic sigils and motifs that celebrated their allegiance to Satan. The streets were lined with shadows that danced to an otherworldly rhythm, and the air was thick with the aura of malevolence that permeated the realm. The city's very foundation seemed "&amp;"to pulse with the heartbeat of the infernal.
At the heart of the Satanic City lay the Infernal Citadel, a fortress of obsidian and flame that housed Satan himself. Within its shadowed halls, the faithful gathered to pay homage to their deity and seek his"&amp;" counsel. The guardians of the city, known as the Abyssal Wardens, were sworn to protect the Infernal Citadel and its malevolent ruler at all costs. These guardians were chosen for their unwavering loyalty and mastery of infernal arts, their powers woven "&amp;"from the very energies that defined their patron deity.
However, the power of the Satanic City did not go unnoticed by the cosmic forces that watched over Abstara. A coalition of celestial beings and champions of light, known as the Radiant Covenant, sou"&amp;"ght to purge the city of its infernal influence. The ensuing conflict between the Coven of Shadows and the Radiant Covenant became a battle that spanned realms, as celestial and infernal energies clashed in a cataclysmic confrontation.
The struggle reach"&amp;"ed its zenith in a clash of cosmic proportions within the very heart of the Satanic City. The skies themselves seemed to crack as the powers of light and darkness collided, their energies creating an inferno that threatened to consume all. In a final conf"&amp;"rontation that tested the limits of reality, the Radiant Covenant's champions managed to weaken the Coven of Shadows' hold on the city, breaking the infernal bonds that anchored it to the abyss.
In the aftermath of the conflict, the Satanic City was fore"&amp;"ver changed. The Infernal Citadel crumbled, and the Coven of Shadows was scattered. The Radiant Covenant's victory left a lingering mark on the city, its inhabitants now forced to reckon with the consequences of their allegiance to darkness.
In the prese"&amp;"nt era, the Satanic City stands as a fractured realm, its architecture scarred by the battle that transpired. The Abyssal Wardens, once fierce defenders of Satan's domain, now find themselves wrestling with their loyalties as the city grapples with its id"&amp;"entity in the wake of defeat. The city's streets are haunted by the memories of the cosmic clash that reshaped its fate, and the darkness that once thrived has been tempered by the victorious forces of light.
The Satanic City remains a place of conflict "&amp;"and contradiction, where the echoes of the infernal past mingle with the uncertain future. Its inhabitants navigate a realm marked by the balance between light and darkness, caught in the interplay of cosmic forces that define Abstara's destiny. And as th"&amp;"ey seek to redefine their city's purpose and allegiance, the Satanic City becomes a story of redemption and transformation in the ever-evolving world of Abstara.")</f>
        <v>This sprawling metropolis, a testament to the infernal might that can shape worlds, serves as a haven for those who revere the malevolent deity known as Satan. The city's origins are woven from rebellion, worship, and the symbiotic relationship between power and servitude.
Before the Satanic City's rise, Abstara was a realm of both light and darkness, a cosmic tapestry where opposing forces vied for dominion. Amid this struggle, there emerged an entity known as Satan, a deity of shadow and power who cast an irresistible allure over those drawn to his infernal energies. Those who sought his favor were granted forbidden knowledge and otherworldly abilities, their loyalty solidified in blood oaths and unholy pacts.
As time passed, the faithful of Satan gathered in secret, drawn to the deity's promises of power and dominion over both the physical and spiritual realms. These disciples, known as the Coven of Shadows, sought to create a city where their devotion to Satan could thrive without fear of persecution. Guided by dark rituals and infernal magic, they fashioned the Satanic City from the very essence of the abyss itself.
The city's architecture reflected the dark beauty of its inhabitants' souls. Towers and spires soared into the heavens, adorned with demonic sigils and motifs that celebrated their allegiance to Satan. The streets were lined with shadows that danced to an otherworldly rhythm, and the air was thick with the aura of malevolence that permeated the realm. The city's very foundation seemed to pulse with the heartbeat of the infernal.
At the heart of the Satanic City lay the Infernal Citadel, a fortress of obsidian and flame that housed Satan himself. Within its shadowed halls, the faithful gathered to pay homage to their deity and seek his counsel. The guardians of the city, known as the Abyssal Wardens, were sworn to protect the Infernal Citadel and its malevolent ruler at all costs. These guardians were chosen for their unwavering loyalty and mastery of infernal arts, their powers woven from the very energies that defined their patron deity.
However, the power of the Satanic City did not go unnoticed by the cosmic forces that watched over Abstara. A coalition of celestial beings and champions of light, known as the Radiant Covenant, sought to purge the city of its infernal influence. The ensuing conflict between the Coven of Shadows and the Radiant Covenant became a battle that spanned realms, as celestial and infernal energies clashed in a cataclysmic confrontation.
The struggle reached its zenith in a clash of cosmic proportions within the very heart of the Satanic City. The skies themselves seemed to crack as the powers of light and darkness collided, their energies creating an inferno that threatened to consume all. In a final confrontation that tested the limits of reality, the Radiant Covenant's champions managed to weaken the Coven of Shadows' hold on the city, breaking the infernal bonds that anchored it to the abyss.
In the aftermath of the conflict, the Satanic City was forever changed. The Infernal Citadel crumbled, and the Coven of Shadows was scattered. The Radiant Covenant's victory left a lingering mark on the city, its inhabitants now forced to reckon with the consequences of their allegiance to darkness.
In the present era, the Satanic City stands as a fractured realm, its architecture scarred by the battle that transpired. The Abyssal Wardens, once fierce defenders of Satan's domain, now find themselves wrestling with their loyalties as the city grapples with its identity in the wake of defeat. The city's streets are haunted by the memories of the cosmic clash that reshaped its fate, and the darkness that once thrived has been tempered by the victorious forces of light.
The Satanic City remains a place of conflict and contradiction, where the echoes of the infernal past mingle with the uncertain future. Its inhabitants navigate a realm marked by the balance between light and darkness, caught in the interplay of cosmic forces that define Abstara's destiny. And as they seek to redefine their city's purpose and allegiance, the Satanic City becomes a story of redemption and transformation in the ever-evolving world of Abstara.</v>
      </c>
      <c r="C57" s="2" t="str">
        <f>IFERROR(__xludf.DUMMYFUNCTION("""COMPUTED_VALUE"""),"Abstara")</f>
        <v>Abstara</v>
      </c>
      <c r="D57" s="2"/>
      <c r="E57" s="16">
        <f>IFERROR(__xludf.DUMMYFUNCTION("""COMPUTED_VALUE"""),1.0E9)</f>
        <v>1000000000</v>
      </c>
      <c r="F57" s="2" t="str">
        <f>IFERROR(__xludf.DUMMYFUNCTION("""COMPUTED_VALUE"""),"UndeadCoin")</f>
        <v>UndeadCoin</v>
      </c>
      <c r="G57" s="2"/>
      <c r="H57" s="2"/>
      <c r="I57" s="2"/>
      <c r="J57" s="2"/>
      <c r="K57" s="2"/>
      <c r="L57" s="2"/>
      <c r="M57" s="2"/>
      <c r="N57" s="2"/>
      <c r="O57" s="2"/>
      <c r="P57" s="2"/>
      <c r="Q57" s="2"/>
      <c r="R57" s="2"/>
      <c r="S57" s="2"/>
      <c r="T57" s="2"/>
      <c r="U57" s="2"/>
      <c r="V57" s="2"/>
      <c r="W57" s="2"/>
      <c r="X57" s="2"/>
      <c r="Y57" s="2"/>
      <c r="Z57" s="2"/>
    </row>
    <row r="58">
      <c r="A58" s="2" t="str">
        <f>IFERROR(__xludf.DUMMYFUNCTION("""COMPUTED_VALUE"""),"Smoldering Ocean")</f>
        <v>Smoldering Ocean</v>
      </c>
      <c r="B58" s="2" t="str">
        <f>IFERROR(__xludf.DUMMYFUNCTION("""COMPUTED_VALUE"""),"This ocean of volcanic ash and molten lava stands as a testament to the raw power of the realm's primal forces. Guarding its depths is an ancient and formidable sea creature, a guardian shaped by the very elements it calls home. The origins of the Smolder"&amp;"ing Ocean are forged in cataclysm and rebirth, a tale of creation, destruction, and the relentless cycle of elemental forces.
Long before the Smoldering Ocean emerged, Abstara was a realm defined by the dance of elements – fire, water, earth, and air. Th"&amp;"e realm's primal energies collided in a symphony of creation and destruction, shaping its landscapes and inhabitants in a perpetual cycle of rebirth. Within the heart of Abstara's fiery core, the seeds of the Smoldering Ocean were sown, as the molten fire"&amp;"s of the realm's volcanic heart met the cool embrace of the cosmic waters.
The clash of these opposing forces gave birth to the Smoldering Ocean – a realm where volcanic ash and molten lava churned and roiled, creating a fiery expanse that defied convent"&amp;"ional notions of an ocean. The waves of this ocean were a dance of flame and ash, and its depths glowed with an inner light that could rival the sun. The Smoldering Ocean's tumultuous waters held the power to reshape the land and sky, and its existence wa"&amp;"s both a testament to elemental chaos and an embodiment of creation's raw power.
Amidst the fiery waves and ash-laden skies, an ancient sea creature known as Pyrothar emerged as the guardian of the Smoldering Ocean. Born from the fusion of the realm's vo"&amp;"lcanic heart and the cosmic waters, Pyrothar embodied the convergence of elements in its very form. Its scales gleamed with the fiery hues of molten rock, and its eyes shone like smoldering embers. Towering above the waves, Pyrothar's presence exuded both"&amp;" power and a timeless wisdom drawn from eons of existence.
Pyrothar's role as guardian was forged from a symbiotic bond with the Smoldering Ocean itself. The creature's elemental essence was woven into the very fabric of the ocean, its movements shaping "&amp;"the currents and tides. Pyrothar's influence extended beyond the ocean's shores, affecting the very geology of the realm and determining the fate of volcanic landscapes that stretched beyond the horizon.
In ages past, a cataclysmic event known as the Bla"&amp;"ze Tidalwave swept across Abstara. A collision of cosmic forces triggered an infernal cataclysm that unleashed a wave of fiery devastation, threatening to engulf the entire realm. In the midst of this cataclysm, Pyrothar emerged as a beacon of resistance,"&amp;" channeling its elemental might to quell the Blaze Tidalwave's fury. Its sacrifice left an indelible mark on the realm, transforming the Smoldering Ocean into a sea of eternal fire.
In the present era, the Smoldering Ocean remains a realm of fiery beauty"&amp;" and danger. Its volcanic ash and molten waves are a testament to the primal forces that define Abstara's nature, and the glowing depths hold secrets of creation and cataclysm. Pyrothar's legacy lives on, an ancient guardian still towering above the fiery"&amp;" waves, its presence a reminder of the realm's unyielding cycle of destruction and rebirth. The Smoldering Ocean stands as a realm where the elements themselves are the architects of destiny, and where the guardians of fire and water shape the world's des"&amp;"tiny in ways that challenge understanding and ignite the imagination.")</f>
        <v>This ocean of volcanic ash and molten lava stands as a testament to the raw power of the realm's primal forces. Guarding its depths is an ancient and formidable sea creature, a guardian shaped by the very elements it calls home. The origins of the Smoldering Ocean are forged in cataclysm and rebirth, a tale of creation, destruction, and the relentless cycle of elemental forces.
Long before the Smoldering Ocean emerged, Abstara was a realm defined by the dance of elements – fire, water, earth, and air. The realm's primal energies collided in a symphony of creation and destruction, shaping its landscapes and inhabitants in a perpetual cycle of rebirth. Within the heart of Abstara's fiery core, the seeds of the Smoldering Ocean were sown, as the molten fires of the realm's volcanic heart met the cool embrace of the cosmic waters.
The clash of these opposing forces gave birth to the Smoldering Ocean – a realm where volcanic ash and molten lava churned and roiled, creating a fiery expanse that defied conventional notions of an ocean. The waves of this ocean were a dance of flame and ash, and its depths glowed with an inner light that could rival the sun. The Smoldering Ocean's tumultuous waters held the power to reshape the land and sky, and its existence was both a testament to elemental chaos and an embodiment of creation's raw power.
Amidst the fiery waves and ash-laden skies, an ancient sea creature known as Pyrothar emerged as the guardian of the Smoldering Ocean. Born from the fusion of the realm's volcanic heart and the cosmic waters, Pyrothar embodied the convergence of elements in its very form. Its scales gleamed with the fiery hues of molten rock, and its eyes shone like smoldering embers. Towering above the waves, Pyrothar's presence exuded both power and a timeless wisdom drawn from eons of existence.
Pyrothar's role as guardian was forged from a symbiotic bond with the Smoldering Ocean itself. The creature's elemental essence was woven into the very fabric of the ocean, its movements shaping the currents and tides. Pyrothar's influence extended beyond the ocean's shores, affecting the very geology of the realm and determining the fate of volcanic landscapes that stretched beyond the horizon.
In ages past, a cataclysmic event known as the Blaze Tidalwave swept across Abstara. A collision of cosmic forces triggered an infernal cataclysm that unleashed a wave of fiery devastation, threatening to engulf the entire realm. In the midst of this cataclysm, Pyrothar emerged as a beacon of resistance, channeling its elemental might to quell the Blaze Tidalwave's fury. Its sacrifice left an indelible mark on the realm, transforming the Smoldering Ocean into a sea of eternal fire.
In the present era, the Smoldering Ocean remains a realm of fiery beauty and danger. Its volcanic ash and molten waves are a testament to the primal forces that define Abstara's nature, and the glowing depths hold secrets of creation and cataclysm. Pyrothar's legacy lives on, an ancient guardian still towering above the fiery waves, its presence a reminder of the realm's unyielding cycle of destruction and rebirth. The Smoldering Ocean stands as a realm where the elements themselves are the architects of destiny, and where the guardians of fire and water shape the world's destiny in ways that challenge understanding and ignite the imagination.</v>
      </c>
      <c r="C58" s="2" t="str">
        <f>IFERROR(__xludf.DUMMYFUNCTION("""COMPUTED_VALUE"""),"Abstara")</f>
        <v>Abstara</v>
      </c>
      <c r="D58" s="2"/>
      <c r="E58" s="16">
        <f>IFERROR(__xludf.DUMMYFUNCTION("""COMPUTED_VALUE"""),1.0E9)</f>
        <v>1000000000</v>
      </c>
      <c r="F58" s="2" t="str">
        <f>IFERROR(__xludf.DUMMYFUNCTION("""COMPUTED_VALUE"""),"UndeadCoin")</f>
        <v>UndeadCoin</v>
      </c>
      <c r="G58" s="2"/>
      <c r="H58" s="2"/>
      <c r="I58" s="2"/>
      <c r="J58" s="2"/>
      <c r="K58" s="2"/>
      <c r="L58" s="2"/>
      <c r="M58" s="2"/>
      <c r="N58" s="2"/>
      <c r="O58" s="2"/>
      <c r="P58" s="2"/>
      <c r="Q58" s="2"/>
      <c r="R58" s="2"/>
      <c r="S58" s="2"/>
      <c r="T58" s="2"/>
      <c r="U58" s="2"/>
      <c r="V58" s="2"/>
      <c r="W58" s="2"/>
      <c r="X58" s="2"/>
      <c r="Y58" s="2"/>
      <c r="Z58" s="2"/>
    </row>
    <row r="59">
      <c r="A59" s="2" t="str">
        <f>IFERROR(__xludf.DUMMYFUNCTION("""COMPUTED_VALUE"""),"Soul Empire")</f>
        <v>Soul Empire</v>
      </c>
      <c r="B59" s="2" t="str">
        <f>IFERROR(__xludf.DUMMYFUNCTION("""COMPUTED_VALUE"""),"This enigmatic city of lost souls stands as a testament to the fragility of existence and the persistence of identity beyond the confines of mortality. Ruled by a being known as the King of Souls, this empire is a realm of ethereal mystery and boundless p"&amp;"ower. The origins of the Soul Empire are woven from tragedy, dominion, and the complex interplay between the realms of the living and the dead.
Long before the Soul Empire came into existence, Abstara was a realm where the balance between life and death "&amp;"was as delicate as a spider's thread. The energies that flowed through the realm's veins gave rise to souls, each a unique fragment of consciousness shaped by the experiences of the living. But as time passed, a malaise began to seep into the very fabric "&amp;"of Abstara, leading to an imbalance between the realms of the living and the dead.
Amidst the growing unrest, a figure emerged with the power to command the souls that wandered the borderlands between life and death. This being, known as the King of Soul"&amp;"s, possessed an enigmatic form that seemed to shift between the ethereal and the corporeal. With an iron will and an insatiable desire for dominion, the King of Souls sought to establish a realm where the lost souls of Abstara could find purpose and ident"&amp;"ity once more.
Using his mastery over the souls, the King of Souls shaped the Soul Empire from the memories, emotions, and regrets of those who had passed beyond the veil of mortality. The city that emerged was a haunting landscape where spectral streets"&amp;" twisted and turned, its buildings forged from echoes of a time long gone. The souls that roamed its alleys retained their individuality, yet their forms were ephemeral, shifting between moments of clarity and distortion.
At the heart of the Soul Empire,"&amp;" the King of Souls ruled from a grand citadel, a manifestation of his dominion over the realm's essence. His presence was both unsettling and mesmerizing, his eyes aflame with the collective knowledge and experiences of the countless souls that he command"&amp;"ed. His power over the souls granted him dominion over their pasts, their regrets, and their desires, and he wielded them like threads in a cosmic tapestry.
Over time, the King of Souls' influence spread, and the Soul Empire became a realm that drew in s"&amp;"ouls seeking solace, redemption, or purpose. Yet, with the promise of a second chance came a heavy price – the King of Souls' dominion over their destinies. Many willingly submitted to his rule, trading their autonomy for a chance to rewrite their stories"&amp;". Others resisted, driven by a refusal to bend to his will.
The Soul Empire became a realm of dichotomy, where the living and the dead intermingled, and the boundaries between reality and the ethereal were blurred. The King of Souls' influence extended b"&amp;"eyond his realm, influencing the fate of souls that traversed Abstara's vast expanse. His power grew, fueled by the choices and emotions of the souls he commanded, until his dominion seemed all-encompassing.
In the present era, the Soul Empire remains a "&amp;"realm of mystery and paradox. Its spectral streets are populated by souls both willing and unwilling to bend to the King's rule, each carrying the weight of their past experiences. The King of Souls' citadel stands as a testament to his power, and his gaz"&amp;"e continues to pierce through the veils of existence, influencing the lives of those who traverse Abstara.
The Soul Empire serves as a realm of reflection and contemplation, a place where the boundaries of identity and destiny are tested. As the living a"&amp;"nd the dead cross paths within its twisted streets, the Soul Empire stands as a poignant reminder that even in the face of death, the echoes of life's choices and emotions persist. And as the King of Souls' dominion remains unchallenged, the realm serves "&amp;"as a haunting exploration of the profound connection between the realms of the living and the dead in the world of Abstara.")</f>
        <v>This enigmatic city of lost souls stands as a testament to the fragility of existence and the persistence of identity beyond the confines of mortality. Ruled by a being known as the King of Souls, this empire is a realm of ethereal mystery and boundless power. The origins of the Soul Empire are woven from tragedy, dominion, and the complex interplay between the realms of the living and the dead.
Long before the Soul Empire came into existence, Abstara was a realm where the balance between life and death was as delicate as a spider's thread. The energies that flowed through the realm's veins gave rise to souls, each a unique fragment of consciousness shaped by the experiences of the living. But as time passed, a malaise began to seep into the very fabric of Abstara, leading to an imbalance between the realms of the living and the dead.
Amidst the growing unrest, a figure emerged with the power to command the souls that wandered the borderlands between life and death. This being, known as the King of Souls, possessed an enigmatic form that seemed to shift between the ethereal and the corporeal. With an iron will and an insatiable desire for dominion, the King of Souls sought to establish a realm where the lost souls of Abstara could find purpose and identity once more.
Using his mastery over the souls, the King of Souls shaped the Soul Empire from the memories, emotions, and regrets of those who had passed beyond the veil of mortality. The city that emerged was a haunting landscape where spectral streets twisted and turned, its buildings forged from echoes of a time long gone. The souls that roamed its alleys retained their individuality, yet their forms were ephemeral, shifting between moments of clarity and distortion.
At the heart of the Soul Empire, the King of Souls ruled from a grand citadel, a manifestation of his dominion over the realm's essence. His presence was both unsettling and mesmerizing, his eyes aflame with the collective knowledge and experiences of the countless souls that he commanded. His power over the souls granted him dominion over their pasts, their regrets, and their desires, and he wielded them like threads in a cosmic tapestry.
Over time, the King of Souls' influence spread, and the Soul Empire became a realm that drew in souls seeking solace, redemption, or purpose. Yet, with the promise of a second chance came a heavy price – the King of Souls' dominion over their destinies. Many willingly submitted to his rule, trading their autonomy for a chance to rewrite their stories. Others resisted, driven by a refusal to bend to his will.
The Soul Empire became a realm of dichotomy, where the living and the dead intermingled, and the boundaries between reality and the ethereal were blurred. The King of Souls' influence extended beyond his realm, influencing the fate of souls that traversed Abstara's vast expanse. His power grew, fueled by the choices and emotions of the souls he commanded, until his dominion seemed all-encompassing.
In the present era, the Soul Empire remains a realm of mystery and paradox. Its spectral streets are populated by souls both willing and unwilling to bend to the King's rule, each carrying the weight of their past experiences. The King of Souls' citadel stands as a testament to his power, and his gaze continues to pierce through the veils of existence, influencing the lives of those who traverse Abstara.
The Soul Empire serves as a realm of reflection and contemplation, a place where the boundaries of identity and destiny are tested. As the living and the dead cross paths within its twisted streets, the Soul Empire stands as a poignant reminder that even in the face of death, the echoes of life's choices and emotions persist. And as the King of Souls' dominion remains unchallenged, the realm serves as a haunting exploration of the profound connection between the realms of the living and the dead in the world of Abstara.</v>
      </c>
      <c r="C59" s="2" t="str">
        <f>IFERROR(__xludf.DUMMYFUNCTION("""COMPUTED_VALUE"""),"Abstara")</f>
        <v>Abstara</v>
      </c>
      <c r="D59" s="2"/>
      <c r="E59" s="16">
        <f>IFERROR(__xludf.DUMMYFUNCTION("""COMPUTED_VALUE"""),1.0E9)</f>
        <v>1000000000</v>
      </c>
      <c r="F59" s="2" t="str">
        <f>IFERROR(__xludf.DUMMYFUNCTION("""COMPUTED_VALUE"""),"UndeadCoin")</f>
        <v>UndeadCoin</v>
      </c>
      <c r="G59" s="2"/>
      <c r="H59" s="2"/>
      <c r="I59" s="2"/>
      <c r="J59" s="2"/>
      <c r="K59" s="2"/>
      <c r="L59" s="2"/>
      <c r="M59" s="2"/>
      <c r="N59" s="2"/>
      <c r="O59" s="2"/>
      <c r="P59" s="2"/>
      <c r="Q59" s="2"/>
      <c r="R59" s="2"/>
      <c r="S59" s="2"/>
      <c r="T59" s="2"/>
      <c r="U59" s="2"/>
      <c r="V59" s="2"/>
      <c r="W59" s="2"/>
      <c r="X59" s="2"/>
      <c r="Y59" s="2"/>
      <c r="Z59" s="2"/>
    </row>
    <row r="60">
      <c r="A60" s="2" t="str">
        <f>IFERROR(__xludf.DUMMYFUNCTION("""COMPUTED_VALUE"""),"The Black Lake")</f>
        <v>The Black Lake</v>
      </c>
      <c r="B60" s="2" t="str">
        <f>IFERROR(__xludf.DUMMYFUNCTION("""COMPUTED_VALUE"""),"This lake, shrouded in darkness and secrets, is a place of whispers and legends, a place where those who venture too close risk becoming a part of its eerie history. Guarding its depths is the ancient and fearsome Black Serpent Dragon, a creature whose po"&amp;"wer mirrors the mysteries of the lake itself. The origins of The Black Lake are veiled in darkness, tragedy, and the insatiable allure of the unknown.
Long before The Black Lake emerged as a haunting presence, Abstara was a realm of diverse landscapes an"&amp;"d magical energies. Within this realm, there existed a place of unparalleled beauty, a lush valley that cradled a serene lake. This body of water was a source of life and tranquility, its crystalline waters reflecting the beauty of the world around it.
H"&amp;"owever, the lake's tranquility was shattered by a series of inexplicable events. Whispers of a malevolent force lurking beneath the surface began to circulate among the inhabitants of the nearby settlements. Strange disappearances were reported, with thos"&amp;"e who ventured too close to the lake vanishing without a trace. Fear and unease settled over the valley, and the once-beloved lake became a place of dread.
It wasn't until an intrepid group of adventurers ventured into the heart of the valley that the tr"&amp;"ue nature of The Black Lake was revealed. The adventurers, determined to uncover the source of the lake's curse, found themselves drawn to the water's edge. One by one, they succumbed to an irresistible compulsion and stepped into the inky depths of the l"&amp;"ake.
As each adventurer submerged into the water, their forms began to shift and distort, becoming eerie shadows that mirrored the lake's dark surface. Their consciousness seemed to merge with the very essence of the lake, their voices and identities sil"&amp;"enced. The valley echoed with the chilling sound of their fading cries, and the lake's true nature was laid bare.
The transformation of the adventurers marked the awakening of the Black Serpent Dragon, an ancient and malevolent entity that had slumbered "&amp;"beneath the lake's surface for untold eons. The dragon's form was a coiling mass of darkness and shadow, its eyes glinting with an intelligence born of an existence steeped in mystery. As the dragon stirred, its power spread throughout the lake, its influ"&amp;"ence seeping into the very fabric of the realm.
The Black Serpent Dragon assumed its role as guardian of The Black Lake, a creature of darkness that ensured the lake's curse endured. Its mere presence twisted reality, transforming those who dared to appr"&amp;"oach into shadows of their former selves. The lake became a reflection of the dragon's power, a realm of darkness and lost souls where those who ventured too close were forever lost to its depths.
In the present era, The Black Lake stands as a haunting r"&amp;"eminder of the consequences of curiosity and the allure of the unknown. Its dark waters and eerie whispers continue to draw the unwary, tempting them with the promise of secrets that lie beneath the surface. The Black Serpent Dragon's watchful eyes remain"&amp;" fixed upon the realm, a guardian of shadows that ensures the lake's dark legacy endures.
The Black Lake serves as a realm of caution and mystery, a place where the line between reality and illusion blurs and where the power of an ancient guardian shapes"&amp;" the fates of those who dare to venture too close. As shadows dance upon its surface and the echoes of long-lost cries linger in the air, The Black Lake stands as a haunting testament to the dangers of curiosity and the enduring power of the unknown in th"&amp;"e world of Abstara.")</f>
        <v>This lake, shrouded in darkness and secrets, is a place of whispers and legends, a place where those who venture too close risk becoming a part of its eerie history. Guarding its depths is the ancient and fearsome Black Serpent Dragon, a creature whose power mirrors the mysteries of the lake itself. The origins of The Black Lake are veiled in darkness, tragedy, and the insatiable allure of the unknown.
Long before The Black Lake emerged as a haunting presence, Abstara was a realm of diverse landscapes and magical energies. Within this realm, there existed a place of unparalleled beauty, a lush valley that cradled a serene lake. This body of water was a source of life and tranquility, its crystalline waters reflecting the beauty of the world around it.
However, the lake's tranquility was shattered by a series of inexplicable events. Whispers of a malevolent force lurking beneath the surface began to circulate among the inhabitants of the nearby settlements. Strange disappearances were reported, with those who ventured too close to the lake vanishing without a trace. Fear and unease settled over the valley, and the once-beloved lake became a place of dread.
It wasn't until an intrepid group of adventurers ventured into the heart of the valley that the true nature of The Black Lake was revealed. The adventurers, determined to uncover the source of the lake's curse, found themselves drawn to the water's edge. One by one, they succumbed to an irresistible compulsion and stepped into the inky depths of the lake.
As each adventurer submerged into the water, their forms began to shift and distort, becoming eerie shadows that mirrored the lake's dark surface. Their consciousness seemed to merge with the very essence of the lake, their voices and identities silenced. The valley echoed with the chilling sound of their fading cries, and the lake's true nature was laid bare.
The transformation of the adventurers marked the awakening of the Black Serpent Dragon, an ancient and malevolent entity that had slumbered beneath the lake's surface for untold eons. The dragon's form was a coiling mass of darkness and shadow, its eyes glinting with an intelligence born of an existence steeped in mystery. As the dragon stirred, its power spread throughout the lake, its influence seeping into the very fabric of the realm.
The Black Serpent Dragon assumed its role as guardian of The Black Lake, a creature of darkness that ensured the lake's curse endured. Its mere presence twisted reality, transforming those who dared to approach into shadows of their former selves. The lake became a reflection of the dragon's power, a realm of darkness and lost souls where those who ventured too close were forever lost to its depths.
In the present era, The Black Lake stands as a haunting reminder of the consequences of curiosity and the allure of the unknown. Its dark waters and eerie whispers continue to draw the unwary, tempting them with the promise of secrets that lie beneath the surface. The Black Serpent Dragon's watchful eyes remain fixed upon the realm, a guardian of shadows that ensures the lake's dark legacy endures.
The Black Lake serves as a realm of caution and mystery, a place where the line between reality and illusion blurs and where the power of an ancient guardian shapes the fates of those who dare to venture too close. As shadows dance upon its surface and the echoes of long-lost cries linger in the air, The Black Lake stands as a haunting testament to the dangers of curiosity and the enduring power of the unknown in the world of Abstara.</v>
      </c>
      <c r="C60" s="2" t="str">
        <f>IFERROR(__xludf.DUMMYFUNCTION("""COMPUTED_VALUE"""),"Abstara")</f>
        <v>Abstara</v>
      </c>
      <c r="D60" s="2"/>
      <c r="E60" s="16">
        <f>IFERROR(__xludf.DUMMYFUNCTION("""COMPUTED_VALUE"""),1.0E9)</f>
        <v>1000000000</v>
      </c>
      <c r="F60" s="2" t="str">
        <f>IFERROR(__xludf.DUMMYFUNCTION("""COMPUTED_VALUE"""),"UndeadCoin")</f>
        <v>UndeadCoin</v>
      </c>
      <c r="G60" s="2"/>
      <c r="H60" s="2"/>
      <c r="I60" s="2"/>
      <c r="J60" s="2"/>
      <c r="K60" s="2"/>
      <c r="L60" s="2"/>
      <c r="M60" s="2"/>
      <c r="N60" s="2"/>
      <c r="O60" s="2"/>
      <c r="P60" s="2"/>
      <c r="Q60" s="2"/>
      <c r="R60" s="2"/>
      <c r="S60" s="2"/>
      <c r="T60" s="2"/>
      <c r="U60" s="2"/>
      <c r="V60" s="2"/>
      <c r="W60" s="2"/>
      <c r="X60" s="2"/>
      <c r="Y60" s="2"/>
      <c r="Z60" s="2"/>
    </row>
    <row r="61">
      <c r="A61" s="2" t="str">
        <f>IFERROR(__xludf.DUMMYFUNCTION("""COMPUTED_VALUE"""),"The Inferno Lake")</f>
        <v>The Inferno Lake</v>
      </c>
      <c r="B61" s="2" t="str">
        <f>IFERROR(__xludf.DUMMYFUNCTION("""COMPUTED_VALUE"""),"This extraordinary body of molten lava, both a deadly arena and a place of elemental wonder, defies conventional notions of land and water. Within its fiery depths resides the enigmatic Volcanic Serpent, a creature whose nature mirrors the dualities of it"&amp;"s fiery domain. The origins of The Inferno Lake are forged in cataclysm, transformation, and the ceaseless dance of elemental forces.
Long before The Inferno Lake emerged as a blazing arena, Abstara was a realm where the elemental forces reigned supreme,"&amp;" shaping its landscapes and defining its inhabitants. The clash of these primal energies gave birth to a convergence of fire and earth, a place where molten lava flowed like rivers and fiery geysers erupted into the skies. Amidst this volcanic landscape, "&amp;"the foundation of The Inferno Lake was laid.
The birth of The Inferno Lake was a cataclysmic event that saw the convergence of multiple volcanic eruptions, a cosmic dance that shaped the molten landscape and gave birth to an arena unlike any other. The l"&amp;"ava's flow formed a churning basin that reflected the fiery glow of the skies, a body of liquid flame that seemed to defy the boundaries of conventional reality.
As the volcanic energies coalesced, the Volcanic Serpent emerged from the molten depths. Thi"&amp;"s creature, a living embodiment of the fire and lava that defined its home, bore the form of a serpentine being wreathed in flames. Its scales glowed with an inner fire, its eyes burning with an ancient intelligence that transcended the elements themselve"&amp;"s. The Volcanic Serpent's existence was an eternal dance of creation and destruction, mirroring the fiery realm in which it dwelled.
With its emergence, the Volcanic Serpent claimed its role as both guardian and master of The Inferno Lake. The creature's"&amp;" power over the molten fires allowed it to manipulate the arena's landscape, shaping the currents of lava and crafting platforms that defied the flames' intensity. It transformed the lake into an arena where daring warriors, adventurers, and beings from a"&amp;"cross Abstara could test their mettle in the crucible of elemental chaos.
Legends of The Inferno Lake and its guardian spread across the realm, drawing the bravest and the boldest to its shores. These warriors sought the ultimate challenge, their motivat"&amp;"ions ranging from the pursuit of glory to the desire for dominion over the flames themselves. As each contender stepped onto the arena's molten shores, the Volcanic Serpent watched with an unblinking gaze, ready to witness the dance of life and death that"&amp;" unfolded before its fiery eyes.
In the present era, The Inferno Lake remains an arena of elemental fury and challenge. Its fiery currents and shifting platforms provide a crucible where only the strongest and most adaptable can survive. The Volcanic Ser"&amp;"pent's watchful presence continues to draw the brave and the reckless, offering them a chance to test their skills and courage against the raw power of the elements.
The Inferno Lake stands as a realm of transformation and triumph, a place where the boun"&amp;"daries of reality blur amidst the flames and where warriors prove their mettle amidst the elemental chaos. As the molten currents continue to churn and the Volcanic Serpent's fiery gaze remains unyielding, The Inferno Lake becomes a story of power and pro"&amp;"wess, where the dance of fire and life unfolds in a blazing symphony within the world of Abstara.")</f>
        <v>This extraordinary body of molten lava, both a deadly arena and a place of elemental wonder, defies conventional notions of land and water. Within its fiery depths resides the enigmatic Volcanic Serpent, a creature whose nature mirrors the dualities of its fiery domain. The origins of The Inferno Lake are forged in cataclysm, transformation, and the ceaseless dance of elemental forces.
Long before The Inferno Lake emerged as a blazing arena, Abstara was a realm where the elemental forces reigned supreme, shaping its landscapes and defining its inhabitants. The clash of these primal energies gave birth to a convergence of fire and earth, a place where molten lava flowed like rivers and fiery geysers erupted into the skies. Amidst this volcanic landscape, the foundation of The Inferno Lake was laid.
The birth of The Inferno Lake was a cataclysmic event that saw the convergence of multiple volcanic eruptions, a cosmic dance that shaped the molten landscape and gave birth to an arena unlike any other. The lava's flow formed a churning basin that reflected the fiery glow of the skies, a body of liquid flame that seemed to defy the boundaries of conventional reality.
As the volcanic energies coalesced, the Volcanic Serpent emerged from the molten depths. This creature, a living embodiment of the fire and lava that defined its home, bore the form of a serpentine being wreathed in flames. Its scales glowed with an inner fire, its eyes burning with an ancient intelligence that transcended the elements themselves. The Volcanic Serpent's existence was an eternal dance of creation and destruction, mirroring the fiery realm in which it dwelled.
With its emergence, the Volcanic Serpent claimed its role as both guardian and master of The Inferno Lake. The creature's power over the molten fires allowed it to manipulate the arena's landscape, shaping the currents of lava and crafting platforms that defied the flames' intensity. It transformed the lake into an arena where daring warriors, adventurers, and beings from across Abstara could test their mettle in the crucible of elemental chaos.
Legends of The Inferno Lake and its guardian spread across the realm, drawing the bravest and the boldest to its shores. These warriors sought the ultimate challenge, their motivations ranging from the pursuit of glory to the desire for dominion over the flames themselves. As each contender stepped onto the arena's molten shores, the Volcanic Serpent watched with an unblinking gaze, ready to witness the dance of life and death that unfolded before its fiery eyes.
In the present era, The Inferno Lake remains an arena of elemental fury and challenge. Its fiery currents and shifting platforms provide a crucible where only the strongest and most adaptable can survive. The Volcanic Serpent's watchful presence continues to draw the brave and the reckless, offering them a chance to test their skills and courage against the raw power of the elements.
The Inferno Lake stands as a realm of transformation and triumph, a place where the boundaries of reality blur amidst the flames and where warriors prove their mettle amidst the elemental chaos. As the molten currents continue to churn and the Volcanic Serpent's fiery gaze remains unyielding, The Inferno Lake becomes a story of power and prowess, where the dance of fire and life unfolds in a blazing symphony within the world of Abstara.</v>
      </c>
      <c r="C61" s="2" t="str">
        <f>IFERROR(__xludf.DUMMYFUNCTION("""COMPUTED_VALUE"""),"Abstara")</f>
        <v>Abstara</v>
      </c>
      <c r="D61" s="2"/>
      <c r="E61" s="16">
        <f>IFERROR(__xludf.DUMMYFUNCTION("""COMPUTED_VALUE"""),1.0E9)</f>
        <v>1000000000</v>
      </c>
      <c r="F61" s="2" t="str">
        <f>IFERROR(__xludf.DUMMYFUNCTION("""COMPUTED_VALUE"""),"UndeadCoin")</f>
        <v>UndeadCoin</v>
      </c>
      <c r="G61" s="2"/>
      <c r="H61" s="2"/>
      <c r="I61" s="2"/>
      <c r="J61" s="2"/>
      <c r="K61" s="2"/>
      <c r="L61" s="2"/>
      <c r="M61" s="2"/>
      <c r="N61" s="2"/>
      <c r="O61" s="2"/>
      <c r="P61" s="2"/>
      <c r="Q61" s="2"/>
      <c r="R61" s="2"/>
      <c r="S61" s="2"/>
      <c r="T61" s="2"/>
      <c r="U61" s="2"/>
      <c r="V61" s="2"/>
      <c r="W61" s="2"/>
      <c r="X61" s="2"/>
      <c r="Y61" s="2"/>
      <c r="Z61" s="2"/>
    </row>
    <row r="62">
      <c r="A62" s="2" t="str">
        <f>IFERROR(__xludf.DUMMYFUNCTION("""COMPUTED_VALUE"""),"The Night Region")</f>
        <v>The Night Region</v>
      </c>
      <c r="B62" s="2" t="str">
        <f>IFERROR(__xludf.DUMMYFUNCTION("""COMPUTED_VALUE"""),"This mystic expanse, with its glowing mushroom villages and night-blooming flora, stands as a realm of beauty and intrigue, where the ordinary becomes extraordinary and the unknown beckons to those who dare to explore. The origins of The Night Region are "&amp;"woven from magic, natural wonder, and the boundless possibilities that lie within the shadows.
Long before The Night Region came into existence, Abstara was a realm where magic and nature intermingled, giving rise to landscapes both wondrous and diverse."&amp;" Amidst the realm's verdant expanses and ethereal forests, the foundation of The Night Region was laid through the convergence of energies and the stirring of ancient forces.
The Night Region's emergence was marked by a convergence of cosmic events, an a"&amp;"lignment of energies that birthed a realm of perpetual twilight. The sun's rays kissed the horizon in an eternal embrace, casting a soft and gentle light that illuminated the land without overpowering it. In this unique balance between day and night, the "&amp;"seeds of magic took root, giving rise to the glowing mushroom villages and night plants that would define The Night Region.
The villages that sprung forth were a testament to the harmony between the inhabitants and the natural world. The villagers, known"&amp;" as the Luminescent Folk, embraced the magic of their realm, cultivating the glowing mushrooms and harnessing their light for various purposes. The mushrooms' gentle glow provided illumination during the realm's twilight hours, casting an ethereal radianc"&amp;"e that transformed the Night Region into a realm of serene beauty.
Within the heart of The Night Region, a towering tree known as the Celestial Elder stood as both a guardian and a source of wisdom. Its gnarled branches reached towards the sky, its leave"&amp;"s shimmering with a brilliance that echoed the stars themselves. The Luminescent Folk held the Celestial Elder in reverence, seeking its guidance in matters both magical and mundane. The tree's roots were said to tap into the very essence of the realm, co"&amp;"nnecting it to the cosmic energies that shaped Abstara's nature.
Over the years, The Night Region gained a reputation as a place of rare herbs and mystical flora. Adventurers and scholars from across Abstara journeyed to its glowing landscapes, drawn by "&amp;"the promise of discovering herbs with unique properties and magical potential. The night-blooming plants that thrived within the realm's embrace held secrets that echoed through the realms, their properties holding the promise of powerful potions and ench"&amp;"antments.
In the present era, The Night Region remains a realm of enchantment and wonder, its glowing mushroom villages and night plants serving as a beacon for those who seek to uncover the mysteries of the natural world. The Luminescent Folk continue t"&amp;"o tend to their mushroom homes and the Celestial Elder, their connection to the realm's magic deepening with each passing year.
The Night Region stands as a realm of balance and beauty, where the twilight hours offer a canvas for both the ordinary and th"&amp;"e extraordinary to coexist. As adventurers explore its glowing landscapes and scholars unravel the secrets of its night-blooming flora, The Night Region becomes a story of magic, nature, and the delicate harmony that can be found within the realm's twilig"&amp;"ht embrace in the world of Abstara.")</f>
        <v>This mystic expanse, with its glowing mushroom villages and night-blooming flora, stands as a realm of beauty and intrigue, where the ordinary becomes extraordinary and the unknown beckons to those who dare to explore. The origins of The Night Region are woven from magic, natural wonder, and the boundless possibilities that lie within the shadows.
Long before The Night Region came into existence, Abstara was a realm where magic and nature intermingled, giving rise to landscapes both wondrous and diverse. Amidst the realm's verdant expanses and ethereal forests, the foundation of The Night Region was laid through the convergence of energies and the stirring of ancient forces.
The Night Region's emergence was marked by a convergence of cosmic events, an alignment of energies that birthed a realm of perpetual twilight. The sun's rays kissed the horizon in an eternal embrace, casting a soft and gentle light that illuminated the land without overpowering it. In this unique balance between day and night, the seeds of magic took root, giving rise to the glowing mushroom villages and night plants that would define The Night Region.
The villages that sprung forth were a testament to the harmony between the inhabitants and the natural world. The villagers, known as the Luminescent Folk, embraced the magic of their realm, cultivating the glowing mushrooms and harnessing their light for various purposes. The mushrooms' gentle glow provided illumination during the realm's twilight hours, casting an ethereal radiance that transformed the Night Region into a realm of serene beauty.
Within the heart of The Night Region, a towering tree known as the Celestial Elder stood as both a guardian and a source of wisdom. Its gnarled branches reached towards the sky, its leaves shimmering with a brilliance that echoed the stars themselves. The Luminescent Folk held the Celestial Elder in reverence, seeking its guidance in matters both magical and mundane. The tree's roots were said to tap into the very essence of the realm, connecting it to the cosmic energies that shaped Abstara's nature.
Over the years, The Night Region gained a reputation as a place of rare herbs and mystical flora. Adventurers and scholars from across Abstara journeyed to its glowing landscapes, drawn by the promise of discovering herbs with unique properties and magical potential. The night-blooming plants that thrived within the realm's embrace held secrets that echoed through the realms, their properties holding the promise of powerful potions and enchantments.
In the present era, The Night Region remains a realm of enchantment and wonder, its glowing mushroom villages and night plants serving as a beacon for those who seek to uncover the mysteries of the natural world. The Luminescent Folk continue to tend to their mushroom homes and the Celestial Elder, their connection to the realm's magic deepening with each passing year.
The Night Region stands as a realm of balance and beauty, where the twilight hours offer a canvas for both the ordinary and the extraordinary to coexist. As adventurers explore its glowing landscapes and scholars unravel the secrets of its night-blooming flora, The Night Region becomes a story of magic, nature, and the delicate harmony that can be found within the realm's twilight embrace in the world of Abstara.</v>
      </c>
      <c r="C62" s="2" t="str">
        <f>IFERROR(__xludf.DUMMYFUNCTION("""COMPUTED_VALUE"""),"Abstara")</f>
        <v>Abstara</v>
      </c>
      <c r="D62" s="2"/>
      <c r="E62" s="16">
        <f>IFERROR(__xludf.DUMMYFUNCTION("""COMPUTED_VALUE"""),1.0E9)</f>
        <v>1000000000</v>
      </c>
      <c r="F62" s="2" t="str">
        <f>IFERROR(__xludf.DUMMYFUNCTION("""COMPUTED_VALUE"""),"UndeadCoin")</f>
        <v>UndeadCoin</v>
      </c>
      <c r="G62" s="2"/>
      <c r="H62" s="2"/>
      <c r="I62" s="2"/>
      <c r="J62" s="2"/>
      <c r="K62" s="2"/>
      <c r="L62" s="2"/>
      <c r="M62" s="2"/>
      <c r="N62" s="2"/>
      <c r="O62" s="2"/>
      <c r="P62" s="2"/>
      <c r="Q62" s="2"/>
      <c r="R62" s="2"/>
      <c r="S62" s="2"/>
      <c r="T62" s="2"/>
      <c r="U62" s="2"/>
      <c r="V62" s="2"/>
      <c r="W62" s="2"/>
      <c r="X62" s="2"/>
      <c r="Y62" s="2"/>
      <c r="Z62" s="2"/>
    </row>
    <row r="63">
      <c r="A63" s="2" t="str">
        <f>IFERROR(__xludf.DUMMYFUNCTION("""COMPUTED_VALUE"""),"The Nightmare Realm")</f>
        <v>The Nightmare Realm</v>
      </c>
      <c r="B63" s="2"/>
      <c r="C63" s="2" t="str">
        <f>IFERROR(__xludf.DUMMYFUNCTION("""COMPUTED_VALUE"""),"Abstara")</f>
        <v>Abstara</v>
      </c>
      <c r="D63" s="2"/>
      <c r="E63" s="16">
        <f>IFERROR(__xludf.DUMMYFUNCTION("""COMPUTED_VALUE"""),1.0E9)</f>
        <v>1000000000</v>
      </c>
      <c r="F63" s="2" t="str">
        <f>IFERROR(__xludf.DUMMYFUNCTION("""COMPUTED_VALUE"""),"UndeadCoin")</f>
        <v>UndeadCoin</v>
      </c>
      <c r="G63" s="2"/>
      <c r="H63" s="2"/>
      <c r="I63" s="2"/>
      <c r="J63" s="2"/>
      <c r="K63" s="2"/>
      <c r="L63" s="2"/>
      <c r="M63" s="2"/>
      <c r="N63" s="2"/>
      <c r="O63" s="2"/>
      <c r="P63" s="2"/>
      <c r="Q63" s="2"/>
      <c r="R63" s="2"/>
      <c r="S63" s="2"/>
      <c r="T63" s="2"/>
      <c r="U63" s="2"/>
      <c r="V63" s="2"/>
      <c r="W63" s="2"/>
      <c r="X63" s="2"/>
      <c r="Y63" s="2"/>
      <c r="Z63" s="2"/>
    </row>
    <row r="64">
      <c r="A64" s="2"/>
      <c r="B64" s="2"/>
      <c r="C64" s="2"/>
      <c r="D64" s="2"/>
      <c r="E64" s="16">
        <f>IFERROR(__xludf.DUMMYFUNCTION("""COMPUTED_VALUE"""),1.0E9)</f>
        <v>1000000000</v>
      </c>
      <c r="F64" s="2"/>
      <c r="G64" s="2"/>
      <c r="H64" s="2"/>
      <c r="I64" s="2"/>
      <c r="J64" s="2"/>
      <c r="K64" s="2"/>
      <c r="L64" s="2"/>
      <c r="M64" s="2"/>
      <c r="N64" s="2"/>
      <c r="O64" s="2"/>
      <c r="P64" s="2"/>
      <c r="Q64" s="2"/>
      <c r="R64" s="2"/>
      <c r="S64" s="2"/>
      <c r="T64" s="2"/>
      <c r="U64" s="2"/>
      <c r="V64" s="2"/>
      <c r="W64" s="2"/>
      <c r="X64" s="2"/>
      <c r="Y64" s="2"/>
      <c r="Z64" s="2"/>
    </row>
    <row r="65">
      <c r="A65" s="2" t="str">
        <f>IFERROR(__xludf.DUMMYFUNCTION("""COMPUTED_VALUE"""),"Cathedral of the Forsaken")</f>
        <v>Cathedral of the Forsaken</v>
      </c>
      <c r="B65" s="2" t="str">
        <f>IFERROR(__xludf.DUMMYFUNCTION("""COMPUTED_VALUE"""),"This immense cathedral, once the stronghold of Satan's rule, now stands as a chilling testament to the dominance of an even more malevolent being, Lord Dreadful. The origins of the Cathedral are etched in the history of power struggles, treacherous ambiti"&amp;"on, and the inexorable rise of the darkest forces within the world of Abstara.
Long before the Cathedral of the Forsaken emerged as a symbol of subjugation, Abstara was a realm perpetually caught between the clashing tides of good and evil. In this realm"&amp;" of intricate moral and cosmic complexities, Satan, a figure of shadow and authority, rose to power as a ruler of darkness. His dominion was epitomized by the Cathedral, a darkly grand structure of imposing spires, arcane symbolism, and an aura of malevol"&amp;"ence that pervaded the very air.
The cathedral's halls reverberated with dark rituals and sinister worship, attracting followers who sought the forbidden knowledge and promises of supremacy offered by Satan's rule. The Cathedral of the Forsaken became a "&amp;"focal point of devotion and control, a place where dark magic intertwined with infernal devotion, shaping the destiny of the realm itself.
Yet, the tides of power are ever-shifting, and from the depths of darkness emerged an even more sinister force: Lor"&amp;"d Dreadful. This malevolent being, draped in shadows and malice, wielded an unimaginable darkness that eclipsed even Satan's influence. Lord Dreadful's thirst for dominion over Abstara led him to challenge Satan's rule, and with a catastrophic confrontati"&amp;"on, the Cathedral of the Forsaken became a battleground of cosmic proportions.
In a cataclysmic clash that shook the very foundations of the cathedral and echoed through the realm, Lord Dreadful's overwhelming power cast Satan into the shadows and sealed"&amp;" his fate in hiding. The cathedral, once a sanctuary for darkness, now fell under the sinister control of Lord Dreadful, whose rule carved new depths of malevolence and cruelty into its very essence.
Under Lord Dreadful's reign, the Cathedral of the Fors"&amp;"aken underwent a transformation that mirrored the depths of his maleficence. The once-imposing architecture twisted and contorted, with spires curving in unnatural angles and dark energies coursing through its very stone. The air grew heavier with dread, "&amp;"and the cathedral's chambers were imbued with a chilling aura that echoed the ruthlessness of Lord Dreadful's dominion.
In the present era, the Cathedral of the Forsaken remains a realm steeped in darkness and fear, a place where the echoes of treacherou"&amp;"s ambitions resonate through the air. The cathedral's halls, once a sanctuary for the devout, have now become a place of dread, haunted by Lord Dreadful's ruthless rule and the shadows of the past.
The Cathedral of the Forsaken stands as a realm of conqu"&amp;"est and malevolence, a testament to the ever-shifting balance of power within the world of Abstara. As Lord Dreadful's rule grows more entrenched and the cathedral's history continues to unfold, it becomes a story of the insidious allure of darkness and t"&amp;"he depths to which beings can descend in their quest for supremacy within the enigmatic realms of Abstara.")</f>
        <v>This immense cathedral, once the stronghold of Satan's rule, now stands as a chilling testament to the dominance of an even more malevolent being, Lord Dreadful. The origins of the Cathedral are etched in the history of power struggles, treacherous ambition, and the inexorable rise of the darkest forces within the world of Abstara.
Long before the Cathedral of the Forsaken emerged as a symbol of subjugation, Abstara was a realm perpetually caught between the clashing tides of good and evil. In this realm of intricate moral and cosmic complexities, Satan, a figure of shadow and authority, rose to power as a ruler of darkness. His dominion was epitomized by the Cathedral, a darkly grand structure of imposing spires, arcane symbolism, and an aura of malevolence that pervaded the very air.
The cathedral's halls reverberated with dark rituals and sinister worship, attracting followers who sought the forbidden knowledge and promises of supremacy offered by Satan's rule. The Cathedral of the Forsaken became a focal point of devotion and control, a place where dark magic intertwined with infernal devotion, shaping the destiny of the realm itself.
Yet, the tides of power are ever-shifting, and from the depths of darkness emerged an even more sinister force: Lord Dreadful. This malevolent being, draped in shadows and malice, wielded an unimaginable darkness that eclipsed even Satan's influence. Lord Dreadful's thirst for dominion over Abstara led him to challenge Satan's rule, and with a catastrophic confrontation, the Cathedral of the Forsaken became a battleground of cosmic proportions.
In a cataclysmic clash that shook the very foundations of the cathedral and echoed through the realm, Lord Dreadful's overwhelming power cast Satan into the shadows and sealed his fate in hiding. The cathedral, once a sanctuary for darkness, now fell under the sinister control of Lord Dreadful, whose rule carved new depths of malevolence and cruelty into its very essence.
Under Lord Dreadful's reign, the Cathedral of the Forsaken underwent a transformation that mirrored the depths of his maleficence. The once-imposing architecture twisted and contorted, with spires curving in unnatural angles and dark energies coursing through its very stone. The air grew heavier with dread, and the cathedral's chambers were imbued with a chilling aura that echoed the ruthlessness of Lord Dreadful's dominion.
In the present era, the Cathedral of the Forsaken remains a realm steeped in darkness and fear, a place where the echoes of treacherous ambitions resonate through the air. The cathedral's halls, once a sanctuary for the devout, have now become a place of dread, haunted by Lord Dreadful's ruthless rule and the shadows of the past.
The Cathedral of the Forsaken stands as a realm of conquest and malevolence, a testament to the ever-shifting balance of power within the world of Abstara. As Lord Dreadful's rule grows more entrenched and the cathedral's history continues to unfold, it becomes a story of the insidious allure of darkness and the depths to which beings can descend in their quest for supremacy within the enigmatic realms of Abstara.</v>
      </c>
      <c r="C65" s="2" t="str">
        <f>IFERROR(__xludf.DUMMYFUNCTION("""COMPUTED_VALUE"""),"Abstara")</f>
        <v>Abstara</v>
      </c>
      <c r="D65" s="2"/>
      <c r="E65" s="16">
        <f>IFERROR(__xludf.DUMMYFUNCTION("""COMPUTED_VALUE"""),1.0E9)</f>
        <v>1000000000</v>
      </c>
      <c r="F65" s="2" t="str">
        <f>IFERROR(__xludf.DUMMYFUNCTION("""COMPUTED_VALUE"""),"UndeadCoin")</f>
        <v>UndeadCoin</v>
      </c>
      <c r="G65" s="2"/>
      <c r="H65" s="2"/>
      <c r="I65" s="2"/>
      <c r="J65" s="2"/>
      <c r="K65" s="2"/>
      <c r="L65" s="2"/>
      <c r="M65" s="2"/>
      <c r="N65" s="2"/>
      <c r="O65" s="2"/>
      <c r="P65" s="2"/>
      <c r="Q65" s="2"/>
      <c r="R65" s="2"/>
      <c r="S65" s="2"/>
      <c r="T65" s="2"/>
      <c r="U65" s="2"/>
      <c r="V65" s="2"/>
      <c r="W65" s="2"/>
      <c r="X65" s="2"/>
      <c r="Y65" s="2"/>
      <c r="Z65" s="2"/>
    </row>
    <row r="66">
      <c r="A66" s="2" t="str">
        <f>IFERROR(__xludf.DUMMYFUNCTION("""COMPUTED_VALUE"""),"The Ancient City of Jinnlar (Currently Unavailable)")</f>
        <v>The Ancient City of Jinnlar (Currently Unavailable)</v>
      </c>
      <c r="B66" s="2" t="str">
        <f>IFERROR(__xludf.DUMMYFUNCTION("""COMPUTED_VALUE"""),"This sprawling metropolis, cloaked in the veils of ancient mysticism, stands as a monument to the boundless power and ethereal beauty of the jinn – supernatural beings of elemental magic. The origins of the Ancient City are woven from the threads of magic"&amp;", ancient alliances, and the enduring legacy of the jinn within the world of Abstara.
Long before the Ancient City of Jinnlar became a beacon of mystical power, Abstara was a realm where the forces of nature and magic converged, giving rise to diverse "&amp;"landscapes and sentient beings. Amidst this tapestry of existence, the jinn emerged as entities of unparalleled magic, embodying the essence of the elements – fire, air, earth, and water – that shaped the world.
The formation of the Ancient City was a "&amp;"tale of profound alliance between the jinn and the forces of magic that governed Abstara. Over time, the jinn formed intricate bonds with the elemental energies that permeated the realm, their power resonating with the very fabric of the cosmos. As these "&amp;"supernatural beings solidified their existence, they sought a place where they could coexist in harmony and wield their elemental magic to shape the world around them.
Guided by their affinity for magic and the elements, the jinn crafted the Ancient Ci"&amp;"ty of Jinnlar. The city's architecture was a marvel of otherworldly beauty, with towering spires that reached towards the skies and intricate mosaics that shimmered with the hues of fire, air, earth, and water. The very streets and buildings seemed to pul"&amp;"se with elemental energy, resonating with the unique magic of each jinn who called the city home.
Within the heart of the city lay the Palace of Elements, a majestic structure that stood as a tribute to the jinn's mastery over the elemental forces. The"&amp;" palace's chambers were adorned with relics of cosmic significance, each artifact attuned to a different aspect of magic and nature. The jinn's rule was marked by a delicate balance between power and reverence, as they used their magic to shape the land a"&amp;"nd foster an existence that respected the forces that gave them life.
For centuries, the Ancient City of Jinnlar thrived as a haven of magic and wonder, a place where the jinn's bond with the elements created a realm of unparalleled beauty. The city wa"&amp;"s a testament to the jinn's mastery over their innate abilities, and it drew visitors from across Abstara who sought to witness the manifestations of elemental magic that echoed through its streets.
In the present era, the Ancient City of Jinnlar remai"&amp;"ns a realm of timeless magic, its streets echoing with the whispers of ancient enchantments. The jinn who call the city home continue to wield their elemental power, shaping the realm in accordance with their will and reverence for the cosmic forces that "&amp;"bind them. Visitors and adventurers who seek to explore its wonders find themselves immersed in a realm where the boundaries between magic, nature, and reality blur.
The Ancient City of Jinnlar stands as a realm of elemental harmony and enduring enchan"&amp;"tment, a place where the jinn's mastery over magic and the elements is celebrated in every corner. As the jinn continue to shape their city and the realm at large, it becomes a story of magic's boundless potential, the alliance between supernatural beings"&amp;" and cosmic forces, and the legacy of the jinn within the mystical world of Abstara.")</f>
        <v>This sprawling metropolis, cloaked in the veils of ancient mysticism, stands as a monument to the boundless power and ethereal beauty of the jinn – supernatural beings of elemental magic. The origins of the Ancient City are woven from the threads of magic, ancient alliances, and the enduring legacy of the jinn within the world of Abstara.
Long before the Ancient City of Jinnlar became a beacon of mystical power, Abstara was a realm where the forces of nature and magic converged, giving rise to diverse landscapes and sentient beings. Amidst this tapestry of existence, the jinn emerged as entities of unparalleled magic, embodying the essence of the elements – fire, air, earth, and water – that shaped the world.
The formation of the Ancient City was a tale of profound alliance between the jinn and the forces of magic that governed Abstara. Over time, the jinn formed intricate bonds with the elemental energies that permeated the realm, their power resonating with the very fabric of the cosmos. As these supernatural beings solidified their existence, they sought a place where they could coexist in harmony and wield their elemental magic to shape the world around them.
Guided by their affinity for magic and the elements, the jinn crafted the Ancient City of Jinnlar. The city's architecture was a marvel of otherworldly beauty, with towering spires that reached towards the skies and intricate mosaics that shimmered with the hues of fire, air, earth, and water. The very streets and buildings seemed to pulse with elemental energy, resonating with the unique magic of each jinn who called the city home.
Within the heart of the city lay the Palace of Elements, a majestic structure that stood as a tribute to the jinn's mastery over the elemental forces. The palace's chambers were adorned with relics of cosmic significance, each artifact attuned to a different aspect of magic and nature. The jinn's rule was marked by a delicate balance between power and reverence, as they used their magic to shape the land and foster an existence that respected the forces that gave them life.
For centuries, the Ancient City of Jinnlar thrived as a haven of magic and wonder, a place where the jinn's bond with the elements created a realm of unparalleled beauty. The city was a testament to the jinn's mastery over their innate abilities, and it drew visitors from across Abstara who sought to witness the manifestations of elemental magic that echoed through its streets.
In the present era, the Ancient City of Jinnlar remains a realm of timeless magic, its streets echoing with the whispers of ancient enchantments. The jinn who call the city home continue to wield their elemental power, shaping the realm in accordance with their will and reverence for the cosmic forces that bind them. Visitors and adventurers who seek to explore its wonders find themselves immersed in a realm where the boundaries between magic, nature, and reality blur.
The Ancient City of Jinnlar stands as a realm of elemental harmony and enduring enchantment, a place where the jinn's mastery over magic and the elements is celebrated in every corner. As the jinn continue to shape their city and the realm at large, it becomes a story of magic's boundless potential, the alliance between supernatural beings and cosmic forces, and the legacy of the jinn within the mystical world of Abstara.</v>
      </c>
      <c r="C66" s="2" t="str">
        <f>IFERROR(__xludf.DUMMYFUNCTION("""COMPUTED_VALUE"""),"Abstara")</f>
        <v>Abstara</v>
      </c>
      <c r="D66" s="2"/>
      <c r="E66" s="16">
        <f>IFERROR(__xludf.DUMMYFUNCTION("""COMPUTED_VALUE"""),1.0E9)</f>
        <v>1000000000</v>
      </c>
      <c r="F66" s="2" t="str">
        <f>IFERROR(__xludf.DUMMYFUNCTION("""COMPUTED_VALUE"""),"UndeadCoin")</f>
        <v>UndeadCoin</v>
      </c>
      <c r="G66" s="2"/>
      <c r="H66" s="2"/>
      <c r="I66" s="2"/>
      <c r="J66" s="2"/>
      <c r="K66" s="2"/>
      <c r="L66" s="2"/>
      <c r="M66" s="2"/>
      <c r="N66" s="2"/>
      <c r="O66" s="2"/>
      <c r="P66" s="2"/>
      <c r="Q66" s="2"/>
      <c r="R66" s="2"/>
      <c r="S66" s="2"/>
      <c r="T66" s="2"/>
      <c r="U66" s="2"/>
      <c r="V66" s="2"/>
      <c r="W66" s="2"/>
      <c r="X66" s="2"/>
      <c r="Y66" s="2"/>
      <c r="Z66" s="2"/>
    </row>
    <row r="67">
      <c r="A67" s="2" t="str">
        <f>IFERROR(__xludf.DUMMYFUNCTION("""COMPUTED_VALUE"""),"Chaotic Old Village")</f>
        <v>Chaotic Old Village</v>
      </c>
      <c r="B67" s="2"/>
      <c r="C67" s="2" t="str">
        <f>IFERROR(__xludf.DUMMYFUNCTION("""COMPUTED_VALUE"""),"Land of The Forgotten")</f>
        <v>Land of The Forgotten</v>
      </c>
      <c r="D67" s="2"/>
      <c r="E67" s="16">
        <f>IFERROR(__xludf.DUMMYFUNCTION("""COMPUTED_VALUE"""),1.0E9)</f>
        <v>1000000000</v>
      </c>
      <c r="F67" s="2" t="str">
        <f>IFERROR(__xludf.DUMMYFUNCTION("""COMPUTED_VALUE"""),"Gilder")</f>
        <v>Gilder</v>
      </c>
      <c r="G67" s="2"/>
      <c r="H67" s="2"/>
      <c r="I67" s="2"/>
      <c r="J67" s="2"/>
      <c r="K67" s="2"/>
      <c r="L67" s="2"/>
      <c r="M67" s="2"/>
      <c r="N67" s="2"/>
      <c r="O67" s="2"/>
      <c r="P67" s="2"/>
      <c r="Q67" s="2"/>
      <c r="R67" s="2"/>
      <c r="S67" s="2"/>
      <c r="T67" s="2"/>
      <c r="U67" s="2"/>
      <c r="V67" s="2"/>
      <c r="W67" s="2"/>
      <c r="X67" s="2"/>
      <c r="Y67" s="2"/>
      <c r="Z67" s="2"/>
    </row>
    <row r="68">
      <c r="A68" s="2" t="str">
        <f>IFERROR(__xludf.DUMMYFUNCTION("""COMPUTED_VALUE"""),"Puppet Masters Cave")</f>
        <v>Puppet Masters Cave</v>
      </c>
      <c r="B68" s="2"/>
      <c r="C68" s="2" t="str">
        <f>IFERROR(__xludf.DUMMYFUNCTION("""COMPUTED_VALUE"""),"Land of The Forgotten")</f>
        <v>Land of The Forgotten</v>
      </c>
      <c r="D68" s="2"/>
      <c r="E68" s="16">
        <f>IFERROR(__xludf.DUMMYFUNCTION("""COMPUTED_VALUE"""),1.0E9)</f>
        <v>1000000000</v>
      </c>
      <c r="F68" s="2" t="str">
        <f>IFERROR(__xludf.DUMMYFUNCTION("""COMPUTED_VALUE"""),"Gilder")</f>
        <v>Gilder</v>
      </c>
      <c r="G68" s="2"/>
      <c r="H68" s="2"/>
      <c r="I68" s="2"/>
      <c r="J68" s="2"/>
      <c r="K68" s="2"/>
      <c r="L68" s="2"/>
      <c r="M68" s="2"/>
      <c r="N68" s="2"/>
      <c r="O68" s="2"/>
      <c r="P68" s="2"/>
      <c r="Q68" s="2"/>
      <c r="R68" s="2"/>
      <c r="S68" s="2"/>
      <c r="T68" s="2"/>
      <c r="U68" s="2"/>
      <c r="V68" s="2"/>
      <c r="W68" s="2"/>
      <c r="X68" s="2"/>
      <c r="Y68" s="2"/>
      <c r="Z68" s="2"/>
    </row>
    <row r="69">
      <c r="A69" s="2" t="str">
        <f>IFERROR(__xludf.DUMMYFUNCTION("""COMPUTED_VALUE"""),"Puppet Masters Hedge Maze")</f>
        <v>Puppet Masters Hedge Maze</v>
      </c>
      <c r="B69" s="2"/>
      <c r="C69" s="2" t="str">
        <f>IFERROR(__xludf.DUMMYFUNCTION("""COMPUTED_VALUE"""),"Land of The Forgotten")</f>
        <v>Land of The Forgotten</v>
      </c>
      <c r="D69" s="2"/>
      <c r="E69" s="16">
        <f>IFERROR(__xludf.DUMMYFUNCTION("""COMPUTED_VALUE"""),1.0E9)</f>
        <v>1000000000</v>
      </c>
      <c r="F69" s="2" t="str">
        <f>IFERROR(__xludf.DUMMYFUNCTION("""COMPUTED_VALUE"""),"Gilder")</f>
        <v>Gilder</v>
      </c>
      <c r="G69" s="2"/>
      <c r="H69" s="2"/>
      <c r="I69" s="2"/>
      <c r="J69" s="2"/>
      <c r="K69" s="2"/>
      <c r="L69" s="2"/>
      <c r="M69" s="2"/>
      <c r="N69" s="2"/>
      <c r="O69" s="2"/>
      <c r="P69" s="2"/>
      <c r="Q69" s="2"/>
      <c r="R69" s="2"/>
      <c r="S69" s="2"/>
      <c r="T69" s="2"/>
      <c r="U69" s="2"/>
      <c r="V69" s="2"/>
      <c r="W69" s="2"/>
      <c r="X69" s="2"/>
      <c r="Y69" s="2"/>
      <c r="Z69" s="2"/>
    </row>
    <row r="70">
      <c r="A70" s="2" t="str">
        <f>IFERROR(__xludf.DUMMYFUNCTION("""COMPUTED_VALUE"""),"SerpentScale Village")</f>
        <v>SerpentScale Village</v>
      </c>
      <c r="B70" s="2" t="str">
        <f>IFERROR(__xludf.DUMMYFUNCTION("""COMPUTED_VALUE"""),"SerpentScale Village was founded over a century ago by a group of adventurers seeking refuge from the dangers of the open sea. The adventurers had been sailing for months on end, searching for new lands and treasures, when they stumbled upon a small, shel"&amp;"tered bay nestled between towering cliffs.
The bay was home to a colony of sea serpents, creatures known for their ferocity and cunning. The adventurers initially feared for their lives, but as they observed the serpents from a distance, they realized th"&amp;"at the creatures were fiercely protective of their bay and the surrounding waters.
The adventurers struck a deal with the serpents: in exchange for safe harbor and protection from other sea monsters, they would respect the serpents' domain and not harm t"&amp;"hem or their offspring. Over time, the adventurers built a small village on the shore of the bay, using the serpents' scales and bones to create sturdy, weather-resistant homes and fortifications.
As the village grew, more and more adventurers flocked to"&amp;" SerpentScale, seeking refuge from the dangers of the sea and the chance to trade with the serpents for their valuable scales and venom. The village became a bustling hub of commerce, with merchants and sailors from all over the world passing through its "&amp;"gates.
Despite the village's prosperity, the serpents remained fiercely protective of their territory, patrolling the waters around the bay and attacking any ships that tried to enter without permission. The villagers learned to live with their fearsome "&amp;"neighbors, respecting their boundaries and taking care not to anger them.
Today, SerpentScale Village remains a thriving center of trade and commerce, closely guarded by the fearsome sea serpents that call it home. The villagers have learned to coexist w"&amp;"ith the serpents, understanding that their safety and prosperity depend on maintaining a delicate balance of respect and cooperation.")</f>
        <v>SerpentScale Village was founded over a century ago by a group of adventurers seeking refuge from the dangers of the open sea. The adventurers had been sailing for months on end, searching for new lands and treasures, when they stumbled upon a small, sheltered bay nestled between towering cliffs.
The bay was home to a colony of sea serpents, creatures known for their ferocity and cunning. The adventurers initially feared for their lives, but as they observed the serpents from a distance, they realized that the creatures were fiercely protective of their bay and the surrounding waters.
The adventurers struck a deal with the serpents: in exchange for safe harbor and protection from other sea monsters, they would respect the serpents' domain and not harm them or their offspring. Over time, the adventurers built a small village on the shore of the bay, using the serpents' scales and bones to create sturdy, weather-resistant homes and fortifications.
As the village grew, more and more adventurers flocked to SerpentScale, seeking refuge from the dangers of the sea and the chance to trade with the serpents for their valuable scales and venom. The village became a bustling hub of commerce, with merchants and sailors from all over the world passing through its gates.
Despite the village's prosperity, the serpents remained fiercely protective of their territory, patrolling the waters around the bay and attacking any ships that tried to enter without permission. The villagers learned to live with their fearsome neighbors, respecting their boundaries and taking care not to anger them.
Today, SerpentScale Village remains a thriving center of trade and commerce, closely guarded by the fearsome sea serpents that call it home. The villagers have learned to coexist with the serpents, understanding that their safety and prosperity depend on maintaining a delicate balance of respect and cooperation.</v>
      </c>
      <c r="C70" s="2" t="str">
        <f>IFERROR(__xludf.DUMMYFUNCTION("""COMPUTED_VALUE"""),"Dragonscale Island")</f>
        <v>Dragonscale Island</v>
      </c>
      <c r="D70" s="2"/>
      <c r="E70" s="16">
        <f>IFERROR(__xludf.DUMMYFUNCTION("""COMPUTED_VALUE"""),1.0E9)</f>
        <v>1000000000</v>
      </c>
      <c r="F70" s="2" t="str">
        <f>IFERROR(__xludf.DUMMYFUNCTION("""COMPUTED_VALUE"""),"Gilder")</f>
        <v>Gilder</v>
      </c>
      <c r="G70" s="2"/>
      <c r="H70" s="2"/>
      <c r="I70" s="2"/>
      <c r="J70" s="2"/>
      <c r="K70" s="2"/>
      <c r="L70" s="2"/>
      <c r="M70" s="2"/>
      <c r="N70" s="2"/>
      <c r="O70" s="2"/>
      <c r="P70" s="2"/>
      <c r="Q70" s="2"/>
      <c r="R70" s="2"/>
      <c r="S70" s="2"/>
      <c r="T70" s="2"/>
      <c r="U70" s="2"/>
      <c r="V70" s="2"/>
      <c r="W70" s="2"/>
      <c r="X70" s="2"/>
      <c r="Y70" s="2"/>
      <c r="Z70" s="2"/>
    </row>
    <row r="71">
      <c r="A71" s="2" t="str">
        <f>IFERROR(__xludf.DUMMYFUNCTION("""COMPUTED_VALUE"""),"Mouth of The Dragon")</f>
        <v>Mouth of The Dragon</v>
      </c>
      <c r="B71" s="2" t="str">
        <f>IFERROR(__xludf.DUMMYFUNCTION("""COMPUTED_VALUE"""),"Mouth of the Dragon is a region of the world known for its fiery and hostile terrain, marked by a cluster of active volcanoes that erupt regularly. The region is home to a variety of dangerous creatures, including fire elementals, magma beasts, and lava d"&amp;"ragons.
Long ago, the area was inhabited by a powerful dragon named Galthar. Galthar was a massive creature, with scales as black as obsidian and eyes that glowed with an otherworldly light. He was known throughout the land for his incredible strength an"&amp;"d his ability to control the very forces of nature.
Galthar was a proud and solitary creature, and he viewed the other races of the world with suspicion and disdain. He hoarded great treasures in his lair at the heart of the Mouth of the Dragon, protecte"&amp;"d by traps and spells of his own devising.
Despite his power, Galthar was eventually slain by a group of adventurers who sought to claim his treasures for themselves. The adventurers braved the fiery terrain of the Mouth of the Dragon, fighting their way"&amp;" through hordes of Galthar's minions and overcoming his deadly traps.
When they finally reached Galthar's lair, they engaged the dragon in a fierce battle that lasted for days. In the end, Galthar was defeated, but not before he unleashed a terrible curs"&amp;"e upon the land. The curse caused the volcanoes of the region to become even more active, spewing forth lava and ash that covered the land in a fiery blanket.
Today, the Mouth of the Dragon remains a dangerous and treacherous region, haunted by the legac"&amp;"y of Galthar and the curse he wrought. Adventurers still journey to the area in search of riches and adventure, but they do so at great risk, knowing that the fires of the land could consume them at any moment.")</f>
        <v>Mouth of the Dragon is a region of the world known for its fiery and hostile terrain, marked by a cluster of active volcanoes that erupt regularly. The region is home to a variety of dangerous creatures, including fire elementals, magma beasts, and lava dragons.
Long ago, the area was inhabited by a powerful dragon named Galthar. Galthar was a massive creature, with scales as black as obsidian and eyes that glowed with an otherworldly light. He was known throughout the land for his incredible strength and his ability to control the very forces of nature.
Galthar was a proud and solitary creature, and he viewed the other races of the world with suspicion and disdain. He hoarded great treasures in his lair at the heart of the Mouth of the Dragon, protected by traps and spells of his own devising.
Despite his power, Galthar was eventually slain by a group of adventurers who sought to claim his treasures for themselves. The adventurers braved the fiery terrain of the Mouth of the Dragon, fighting their way through hordes of Galthar's minions and overcoming his deadly traps.
When they finally reached Galthar's lair, they engaged the dragon in a fierce battle that lasted for days. In the end, Galthar was defeated, but not before he unleashed a terrible curse upon the land. The curse caused the volcanoes of the region to become even more active, spewing forth lava and ash that covered the land in a fiery blanket.
Today, the Mouth of the Dragon remains a dangerous and treacherous region, haunted by the legacy of Galthar and the curse he wrought. Adventurers still journey to the area in search of riches and adventure, but they do so at great risk, knowing that the fires of the land could consume them at any moment.</v>
      </c>
      <c r="C71" s="2" t="str">
        <f>IFERROR(__xludf.DUMMYFUNCTION("""COMPUTED_VALUE"""),"Dragonscale Island")</f>
        <v>Dragonscale Island</v>
      </c>
      <c r="D71" s="2"/>
      <c r="E71" s="16">
        <f>IFERROR(__xludf.DUMMYFUNCTION("""COMPUTED_VALUE"""),1.0E9)</f>
        <v>1000000000</v>
      </c>
      <c r="F71" s="2" t="str">
        <f>IFERROR(__xludf.DUMMYFUNCTION("""COMPUTED_VALUE"""),"Gilder")</f>
        <v>Gilder</v>
      </c>
      <c r="G71" s="2"/>
      <c r="H71" s="2"/>
      <c r="I71" s="2"/>
      <c r="J71" s="2"/>
      <c r="K71" s="2"/>
      <c r="L71" s="2"/>
      <c r="M71" s="2"/>
      <c r="N71" s="2"/>
      <c r="O71" s="2"/>
      <c r="P71" s="2"/>
      <c r="Q71" s="2"/>
      <c r="R71" s="2"/>
      <c r="S71" s="2"/>
      <c r="T71" s="2"/>
      <c r="U71" s="2"/>
      <c r="V71" s="2"/>
      <c r="W71" s="2"/>
      <c r="X71" s="2"/>
      <c r="Y71" s="2"/>
      <c r="Z71" s="2"/>
    </row>
    <row r="72">
      <c r="A72" s="2" t="str">
        <f>IFERROR(__xludf.DUMMYFUNCTION("""COMPUTED_VALUE"""),"Dragonscale Dungeon")</f>
        <v>Dragonscale Dungeon</v>
      </c>
      <c r="B72" s="2" t="str">
        <f>IFERROR(__xludf.DUMMYFUNCTION("""COMPUTED_VALUE"""),"DragonScale Dungeon is a towering fortress that looms over the landscape, its walls adorned with the scales of long-dead dragons. The dungeon was built centuries ago by an order of knights who sought to create a place where dangerous criminals could be in"&amp;"carcerated and punished.
Initially, the dungeon was well-managed and its inmates were treated humanely. However, over time, corruption set in, and the guards began to abuse their power, using the inmates for their own gain and ignoring their duty to main"&amp;"tain order.
Eventually, a group of inmates rebelled against their captors, seizing control of the lower levels of the dungeon and turning them into a lawless den of thieves and murderers. The guards, unable to retake control, sealed off the lower levels "&amp;"and abandoned the dungeon altogether, leaving the inmates to fend for themselves.
Over time, the lower levels of the dungeon became known as the Pits of Despair, a place where the worst criminals and outcasts of society were sent to rot away in darkness "&amp;"and filth. The Pits became a breeding ground for violence and corruption, with powerful gangs vying for control and the dragons that lurked within the depths preying upon the weak and defenseless.
Despite its dark reputation, DragonScale Dungeon remains "&amp;"a place of great interest for adventurers and treasure seekers, who brave its traps and monsters in search of valuable relics and ancient artifacts. However, those who venture too far into the Pits of Despair rarely return, swallowed up by the darkness an"&amp;"d the dangers that lurk within.")</f>
        <v>DragonScale Dungeon is a towering fortress that looms over the landscape, its walls adorned with the scales of long-dead dragons. The dungeon was built centuries ago by an order of knights who sought to create a place where dangerous criminals could be incarcerated and punished.
Initially, the dungeon was well-managed and its inmates were treated humanely. However, over time, corruption set in, and the guards began to abuse their power, using the inmates for their own gain and ignoring their duty to maintain order.
Eventually, a group of inmates rebelled against their captors, seizing control of the lower levels of the dungeon and turning them into a lawless den of thieves and murderers. The guards, unable to retake control, sealed off the lower levels and abandoned the dungeon altogether, leaving the inmates to fend for themselves.
Over time, the lower levels of the dungeon became known as the Pits of Despair, a place where the worst criminals and outcasts of society were sent to rot away in darkness and filth. The Pits became a breeding ground for violence and corruption, with powerful gangs vying for control and the dragons that lurked within the depths preying upon the weak and defenseless.
Despite its dark reputation, DragonScale Dungeon remains a place of great interest for adventurers and treasure seekers, who brave its traps and monsters in search of valuable relics and ancient artifacts. However, those who venture too far into the Pits of Despair rarely return, swallowed up by the darkness and the dangers that lurk within.</v>
      </c>
      <c r="C72" s="2" t="str">
        <f>IFERROR(__xludf.DUMMYFUNCTION("""COMPUTED_VALUE"""),"Dragonscale Island")</f>
        <v>Dragonscale Island</v>
      </c>
      <c r="D72" s="2"/>
      <c r="E72" s="16">
        <f>IFERROR(__xludf.DUMMYFUNCTION("""COMPUTED_VALUE"""),1.0E9)</f>
        <v>1000000000</v>
      </c>
      <c r="F72" s="2" t="str">
        <f>IFERROR(__xludf.DUMMYFUNCTION("""COMPUTED_VALUE"""),"Gilder")</f>
        <v>Gilder</v>
      </c>
      <c r="G72" s="2"/>
      <c r="H72" s="2"/>
      <c r="I72" s="2"/>
      <c r="J72" s="2"/>
      <c r="K72" s="2"/>
      <c r="L72" s="2"/>
      <c r="M72" s="2"/>
      <c r="N72" s="2"/>
      <c r="O72" s="2"/>
      <c r="P72" s="2"/>
      <c r="Q72" s="2"/>
      <c r="R72" s="2"/>
      <c r="S72" s="2"/>
      <c r="T72" s="2"/>
      <c r="U72" s="2"/>
      <c r="V72" s="2"/>
      <c r="W72" s="2"/>
      <c r="X72" s="2"/>
      <c r="Y72" s="2"/>
      <c r="Z72" s="2"/>
    </row>
    <row r="73">
      <c r="A73" s="2" t="str">
        <f>IFERROR(__xludf.DUMMYFUNCTION("""COMPUTED_VALUE"""),"Sweltering Salamander Swamp")</f>
        <v>Sweltering Salamander Swamp</v>
      </c>
      <c r="B73" s="2" t="str">
        <f>IFERROR(__xludf.DUMMYFUNCTION("""COMPUTED_VALUE"""),"Sweltering Salamander Swamp is a dense and humid region, with murky waters and twisting vines that make it difficult to navigate. The swamp is home to a variety of creatures, including alligators, snakes, and insects, but it is most notable for its lizard"&amp;" folk inhabitants, who have lived in the area for generations.
The lizard folk who call Sweltering Salamander Swamp home worship a giant salamander that they believe to be a powerful deity. They believe that the salamander controls the waters of the swam"&amp;"p and brings life to the land, and they have built a temple at the center of the swamp where they can pay homage to their god.
The temple is a towering structure made of wood and vines, with a massive statue of the salamander at its center. The lizard fo"&amp;"lk believe that the statue is a physical manifestation of their god, and they perform daily rituals and sacrifices to ensure that the salamander remains pleased with them.
Despite their reverence for the salamander, the lizard folk of Sweltering Salamand"&amp;"er Swamp are not entirely peaceful. They are fiercely territorial and will defend their land and their god against any intruders. Those who venture into the swamp without permission are likely to be met with hostility and violence, as the lizard folk view"&amp;" outsiders as a threat to their way of life.
However, for those who can gain the trust of the lizard folk, Sweltering Salamander Swamp can be a source of great knowledge and power. The lizard folk are skilled in the ways of the swamp and can offer valuab"&amp;"le guidance and resources to those who are willing to respect their culture and their beliefs.")</f>
        <v>Sweltering Salamander Swamp is a dense and humid region, with murky waters and twisting vines that make it difficult to navigate. The swamp is home to a variety of creatures, including alligators, snakes, and insects, but it is most notable for its lizard folk inhabitants, who have lived in the area for generations.
The lizard folk who call Sweltering Salamander Swamp home worship a giant salamander that they believe to be a powerful deity. They believe that the salamander controls the waters of the swamp and brings life to the land, and they have built a temple at the center of the swamp where they can pay homage to their god.
The temple is a towering structure made of wood and vines, with a massive statue of the salamander at its center. The lizard folk believe that the statue is a physical manifestation of their god, and they perform daily rituals and sacrifices to ensure that the salamander remains pleased with them.
Despite their reverence for the salamander, the lizard folk of Sweltering Salamander Swamp are not entirely peaceful. They are fiercely territorial and will defend their land and their god against any intruders. Those who venture into the swamp without permission are likely to be met with hostility and violence, as the lizard folk view outsiders as a threat to their way of life.
However, for those who can gain the trust of the lizard folk, Sweltering Salamander Swamp can be a source of great knowledge and power. The lizard folk are skilled in the ways of the swamp and can offer valuable guidance and resources to those who are willing to respect their culture and their beliefs.</v>
      </c>
      <c r="C73" s="2" t="str">
        <f>IFERROR(__xludf.DUMMYFUNCTION("""COMPUTED_VALUE"""),"Dragonscale Island")</f>
        <v>Dragonscale Island</v>
      </c>
      <c r="D73" s="2"/>
      <c r="E73" s="16">
        <f>IFERROR(__xludf.DUMMYFUNCTION("""COMPUTED_VALUE"""),1.0E9)</f>
        <v>1000000000</v>
      </c>
      <c r="F73" s="2" t="str">
        <f>IFERROR(__xludf.DUMMYFUNCTION("""COMPUTED_VALUE"""),"Gilder")</f>
        <v>Gilder</v>
      </c>
      <c r="G73" s="2"/>
      <c r="H73" s="2"/>
      <c r="I73" s="2"/>
      <c r="J73" s="2"/>
      <c r="K73" s="2"/>
      <c r="L73" s="2"/>
      <c r="M73" s="2"/>
      <c r="N73" s="2"/>
      <c r="O73" s="2"/>
      <c r="P73" s="2"/>
      <c r="Q73" s="2"/>
      <c r="R73" s="2"/>
      <c r="S73" s="2"/>
      <c r="T73" s="2"/>
      <c r="U73" s="2"/>
      <c r="V73" s="2"/>
      <c r="W73" s="2"/>
      <c r="X73" s="2"/>
      <c r="Y73" s="2"/>
      <c r="Z73" s="2"/>
    </row>
    <row r="74">
      <c r="A74" s="2" t="str">
        <f>IFERROR(__xludf.DUMMYFUNCTION("""COMPUTED_VALUE"""),"Gecko-Tail Passage")</f>
        <v>Gecko-Tail Passage</v>
      </c>
      <c r="B74" s="2" t="str">
        <f>IFERROR(__xludf.DUMMYFUNCTION("""COMPUTED_VALUE"""),"Gecko-Tail Passage is a treacherous rainforest passage that connects Dragon Tear Lake and Wyverntail Waterfalls. The area is known for its exotic wildlife, which includes geckos that emit steam, fiery toads that can shoot flames, and lava alligators that "&amp;"can swim through molten rock.
The passage was once used as a trade route by the local tribes who lived in the area, as it provided a shortcut between the two bodies of water. However, as the region became more dangerous, the passage fell into disuse, and"&amp;" it is now primarily used by adventurers and treasure seekers who are brave enough to navigate its hazards.
The steam geckos of Gecko-Tail Passage are particularly dangerous, as they can emit scalding hot steam from their bodies as a defense mechanism. T"&amp;"he fiery toads are no less dangerous, as they can shoot powerful bursts of flame at their prey. And the lava alligators are a constant threat to anyone who dares to enter the passage, as they can swim through molten rock and are virtually immune to fire.
"&amp;"
Despite the dangers, there are those who are drawn to Gecko-Tail Passage by the promise of adventure and treasure. The passage is rumored to contain valuable artifacts and magical treasures that have been lost for centuries, and many brave souls have ven"&amp;"tured into the rainforest in search of these riches.
For those who are able to navigate the hazards of Gecko-Tail Passage and emerge unscathed, the rewards can be great. However, the passage is not for the faint of heart, and many who have entered it hav"&amp;"e never returned.")</f>
        <v>Gecko-Tail Passage is a treacherous rainforest passage that connects Dragon Tear Lake and Wyverntail Waterfalls. The area is known for its exotic wildlife, which includes geckos that emit steam, fiery toads that can shoot flames, and lava alligators that can swim through molten rock.
The passage was once used as a trade route by the local tribes who lived in the area, as it provided a shortcut between the two bodies of water. However, as the region became more dangerous, the passage fell into disuse, and it is now primarily used by adventurers and treasure seekers who are brave enough to navigate its hazards.
The steam geckos of Gecko-Tail Passage are particularly dangerous, as they can emit scalding hot steam from their bodies as a defense mechanism. The fiery toads are no less dangerous, as they can shoot powerful bursts of flame at their prey. And the lava alligators are a constant threat to anyone who dares to enter the passage, as they can swim through molten rock and are virtually immune to fire.
Despite the dangers, there are those who are drawn to Gecko-Tail Passage by the promise of adventure and treasure. The passage is rumored to contain valuable artifacts and magical treasures that have been lost for centuries, and many brave souls have ventured into the rainforest in search of these riches.
For those who are able to navigate the hazards of Gecko-Tail Passage and emerge unscathed, the rewards can be great. However, the passage is not for the faint of heart, and many who have entered it have never returned.</v>
      </c>
      <c r="C74" s="2" t="str">
        <f>IFERROR(__xludf.DUMMYFUNCTION("""COMPUTED_VALUE"""),"Dragonscale Island")</f>
        <v>Dragonscale Island</v>
      </c>
      <c r="D74" s="2"/>
      <c r="E74" s="16">
        <f>IFERROR(__xludf.DUMMYFUNCTION("""COMPUTED_VALUE"""),1.0E9)</f>
        <v>1000000000</v>
      </c>
      <c r="F74" s="2" t="str">
        <f>IFERROR(__xludf.DUMMYFUNCTION("""COMPUTED_VALUE"""),"Gilder")</f>
        <v>Gilder</v>
      </c>
      <c r="G74" s="2"/>
      <c r="H74" s="2"/>
      <c r="I74" s="2"/>
      <c r="J74" s="2"/>
      <c r="K74" s="2"/>
      <c r="L74" s="2"/>
      <c r="M74" s="2"/>
      <c r="N74" s="2"/>
      <c r="O74" s="2"/>
      <c r="P74" s="2"/>
      <c r="Q74" s="2"/>
      <c r="R74" s="2"/>
      <c r="S74" s="2"/>
      <c r="T74" s="2"/>
      <c r="U74" s="2"/>
      <c r="V74" s="2"/>
      <c r="W74" s="2"/>
      <c r="X74" s="2"/>
      <c r="Y74" s="2"/>
      <c r="Z74" s="2"/>
    </row>
    <row r="75">
      <c r="A75" s="2" t="str">
        <f>IFERROR(__xludf.DUMMYFUNCTION("""COMPUTED_VALUE"""),"Wyverntail Waterfalls")</f>
        <v>Wyverntail Waterfalls</v>
      </c>
      <c r="B75" s="2" t="str">
        <f>IFERROR(__xludf.DUMMYFUNCTION("""COMPUTED_VALUE"""),"Wyverntail Waterfalls is a breathtaking region that encompasses a towering mountain, a vibrant green jungle, and a watchtower on the coast. The area is known for its stunning natural beauty and its abundance of exotic wildlife.
The mountain at the heart "&amp;"of Wyverntail Waterfalls is a towering peak that is home to many different creatures, including wyverns, giant birds, and mountain goats. The mountain is rich in minerals and other valuable resources, and it has been the subject of many expeditions by adv"&amp;"enturers seeking to uncover its secrets.
The vibrant green jungle that surrounds the mountain is home to a wide variety of flora and fauna. The trees are dense and lush, providing a habitat for monkeys, snakes, and other creatures. The jungle is also hom"&amp;"e to several hidden temples and ancient ruins, which are rumored to contain powerful artifacts and magical treasures.
At the coast, there is a watchtower that was built by the local kingdom to keep an eye on the sea and protect against invading ships. Th"&amp;"e watchtower is manned by skilled soldiers who are trained to defend against any threats that may come from the sea.
Despite its natural beauty, Wyverntail Waterfalls is a dangerous place, and many who venture into the region do not return. The creatures"&amp;" that live there are fierce and territorial, and there are many hidden dangers lurking in the jungle and the mountain.
For those who are brave enough to explore the region, however, there are many rewards to be found. The mountain contains valuable resou"&amp;"rces that can be mined, and the jungle is home to many rare plants and herbs that can be used for medicinal purposes. And for those who are skilled enough to uncover the secrets of the hidden temples and ancient ruins, there are magical treasures and powe"&amp;"rful artifacts waiting to be discovered.")</f>
        <v>Wyverntail Waterfalls is a breathtaking region that encompasses a towering mountain, a vibrant green jungle, and a watchtower on the coast. The area is known for its stunning natural beauty and its abundance of exotic wildlife.
The mountain at the heart of Wyverntail Waterfalls is a towering peak that is home to many different creatures, including wyverns, giant birds, and mountain goats. The mountain is rich in minerals and other valuable resources, and it has been the subject of many expeditions by adventurers seeking to uncover its secrets.
The vibrant green jungle that surrounds the mountain is home to a wide variety of flora and fauna. The trees are dense and lush, providing a habitat for monkeys, snakes, and other creatures. The jungle is also home to several hidden temples and ancient ruins, which are rumored to contain powerful artifacts and magical treasures.
At the coast, there is a watchtower that was built by the local kingdom to keep an eye on the sea and protect against invading ships. The watchtower is manned by skilled soldiers who are trained to defend against any threats that may come from the sea.
Despite its natural beauty, Wyverntail Waterfalls is a dangerous place, and many who venture into the region do not return. The creatures that live there are fierce and territorial, and there are many hidden dangers lurking in the jungle and the mountain.
For those who are brave enough to explore the region, however, there are many rewards to be found. The mountain contains valuable resources that can be mined, and the jungle is home to many rare plants and herbs that can be used for medicinal purposes. And for those who are skilled enough to uncover the secrets of the hidden temples and ancient ruins, there are magical treasures and powerful artifacts waiting to be discovered.</v>
      </c>
      <c r="C75" s="2" t="str">
        <f>IFERROR(__xludf.DUMMYFUNCTION("""COMPUTED_VALUE"""),"Dragonscale Island")</f>
        <v>Dragonscale Island</v>
      </c>
      <c r="D75" s="2"/>
      <c r="E75" s="16">
        <f>IFERROR(__xludf.DUMMYFUNCTION("""COMPUTED_VALUE"""),1.0E9)</f>
        <v>1000000000</v>
      </c>
      <c r="F75" s="2" t="str">
        <f>IFERROR(__xludf.DUMMYFUNCTION("""COMPUTED_VALUE"""),"Gilder")</f>
        <v>Gilder</v>
      </c>
      <c r="G75" s="2"/>
      <c r="H75" s="2"/>
      <c r="I75" s="2"/>
      <c r="J75" s="2"/>
      <c r="K75" s="2"/>
      <c r="L75" s="2"/>
      <c r="M75" s="2"/>
      <c r="N75" s="2"/>
      <c r="O75" s="2"/>
      <c r="P75" s="2"/>
      <c r="Q75" s="2"/>
      <c r="R75" s="2"/>
      <c r="S75" s="2"/>
      <c r="T75" s="2"/>
      <c r="U75" s="2"/>
      <c r="V75" s="2"/>
      <c r="W75" s="2"/>
      <c r="X75" s="2"/>
      <c r="Y75" s="2"/>
      <c r="Z75" s="2"/>
    </row>
    <row r="76">
      <c r="A76" s="2" t="str">
        <f>IFERROR(__xludf.DUMMYFUNCTION("""COMPUTED_VALUE"""),"Tortoise Shell Island")</f>
        <v>Tortoise Shell Island</v>
      </c>
      <c r="B76" s="2" t="str">
        <f>IFERROR(__xludf.DUMMYFUNCTION("""COMPUTED_VALUE"""),"Long ago, Tortoise Shell Island was a barren, uninhabitable place. It was an unforgiving landscape, with little vegetation and scarce resources. But that all changed when a group of explorers discovered a rare and powerful gemstone on the island. The gems"&amp;"tone was said to have magical properties, and it was highly sought after by people from all over the world.
The discovery of the gemstone attracted two rival tribes to the island, the Fire Tribe and the Water Tribe. The Fire Tribe was known for their fie"&amp;"rce warriors and their fiery temperaments, while the Water Tribe was known for their calm and peaceful nature. Despite their differences, the two tribes formed a close bond, as they recognized that they needed to work together to protect their valuable re"&amp;"source.
As the two tribes settled on the island, they began to build a mighty fortress to protect themselves and the gemstone from outsiders. The fortress was built at the center of the island, and it quickly became the heart of the community. The two tr"&amp;"ibes worked together to create a system of laws and governance, and they appointed a council of elders to maintain order and justice on the island.
Over time, the island became a vibrant and prosperous place. The gemstone brought wealth and prosperity to"&amp;" the tribes, and they used it to build homes, farms, and markets. The island was also surrounded by lush forests, which provided the tribes with an abundance of resources and wildlife.
Despite their successes, the two tribes still had their differences. "&amp;"They would often argue and bicker, and it seemed as though a war was always on the brink of breaking out. But the elders of the council always managed to find a way to keep the peace, and the fortress remained strong.
As the years went by, the gemstone b"&amp;"egan to lose its power. It was still valuable, but it no longer held the same magical properties that it once did. The tribes began to look beyond the gemstone and towards other ways of sustaining themselves. They formed new alliances with neighboring isl"&amp;"ands, and they continued to build and expand their community.
Today, Tortoise Shell Island remains a prosperous and peaceful place. The fortress still stands at the center of the island, serving as a reminder of the tribes' unity and strength. The forest"&amp;"s that surround the village are still vibrant and full of life, and the people who live on the island continue to thrive and prosper.")</f>
        <v>Long ago, Tortoise Shell Island was a barren, uninhabitable place. It was an unforgiving landscape, with little vegetation and scarce resources. But that all changed when a group of explorers discovered a rare and powerful gemstone on the island. The gemstone was said to have magical properties, and it was highly sought after by people from all over the world.
The discovery of the gemstone attracted two rival tribes to the island, the Fire Tribe and the Water Tribe. The Fire Tribe was known for their fierce warriors and their fiery temperaments, while the Water Tribe was known for their calm and peaceful nature. Despite their differences, the two tribes formed a close bond, as they recognized that they needed to work together to protect their valuable resource.
As the two tribes settled on the island, they began to build a mighty fortress to protect themselves and the gemstone from outsiders. The fortress was built at the center of the island, and it quickly became the heart of the community. The two tribes worked together to create a system of laws and governance, and they appointed a council of elders to maintain order and justice on the island.
Over time, the island became a vibrant and prosperous place. The gemstone brought wealth and prosperity to the tribes, and they used it to build homes, farms, and markets. The island was also surrounded by lush forests, which provided the tribes with an abundance of resources and wildlife.
Despite their successes, the two tribes still had their differences. They would often argue and bicker, and it seemed as though a war was always on the brink of breaking out. But the elders of the council always managed to find a way to keep the peace, and the fortress remained strong.
As the years went by, the gemstone began to lose its power. It was still valuable, but it no longer held the same magical properties that it once did. The tribes began to look beyond the gemstone and towards other ways of sustaining themselves. They formed new alliances with neighboring islands, and they continued to build and expand their community.
Today, Tortoise Shell Island remains a prosperous and peaceful place. The fortress still stands at the center of the island, serving as a reminder of the tribes' unity and strength. The forests that surround the village are still vibrant and full of life, and the people who live on the island continue to thrive and prosper.</v>
      </c>
      <c r="C76" s="2" t="str">
        <f>IFERROR(__xludf.DUMMYFUNCTION("""COMPUTED_VALUE"""),"Dragonscale Island")</f>
        <v>Dragonscale Island</v>
      </c>
      <c r="D76" s="2"/>
      <c r="E76" s="16">
        <f>IFERROR(__xludf.DUMMYFUNCTION("""COMPUTED_VALUE"""),1.1E9)</f>
        <v>1100000000</v>
      </c>
      <c r="F76" s="2" t="str">
        <f>IFERROR(__xludf.DUMMYFUNCTION("""COMPUTED_VALUE"""),"Gilder")</f>
        <v>Gilder</v>
      </c>
      <c r="G76" s="2"/>
      <c r="H76" s="2"/>
      <c r="I76" s="2"/>
      <c r="J76" s="2"/>
      <c r="K76" s="2"/>
      <c r="L76" s="2"/>
      <c r="M76" s="2"/>
      <c r="N76" s="2"/>
      <c r="O76" s="2"/>
      <c r="P76" s="2"/>
      <c r="Q76" s="2"/>
      <c r="R76" s="2"/>
      <c r="S76" s="2"/>
      <c r="T76" s="2"/>
      <c r="U76" s="2"/>
      <c r="V76" s="2"/>
      <c r="W76" s="2"/>
      <c r="X76" s="2"/>
      <c r="Y76" s="2"/>
      <c r="Z76" s="2"/>
    </row>
    <row r="77">
      <c r="A77" s="2" t="str">
        <f>IFERROR(__xludf.DUMMYFUNCTION("""COMPUTED_VALUE"""),"Komodo Caverns")</f>
        <v>Komodo Caverns</v>
      </c>
      <c r="B77" s="2" t="str">
        <f>IFERROR(__xludf.DUMMYFUNCTION("""COMPUTED_VALUE"""),"Long ago, the Komodo Caverns were discovered by a group of explorers who were searching for new sources of valuable minerals. The caverns were unlike anything they had ever seen before, with sprawling tunnels and vast chambers that stretched for miles und"&amp;"erground. The explorers were in awe of the natural beauty of the caves, but they soon discovered that they were not alone.
Deep within the caverns, they encountered a group of knights who were unlike any they had ever seen before. These knights were fier"&amp;"ce warriors, clad in armor made from the scales of Komodo dragons. They carried swords that glinted in the darkness, and their eyes glowed with an otherworldly light.
The knights were the guardians of the caverns, and they had been tasked with protecting"&amp;" the valuable minerals that lay within. They were sworn to secrecy, and they had never allowed anyone to enter the caverns before. But the explorers had stumbled upon their secret, and they knew that they had to act quickly to protect their treasure.
The"&amp;" knights chased the explorers deep into the caverns, using their knowledge of the tunnels to outmaneuver them at every turn. But the explorers were determined to claim the valuable minerals for themselves, and they fought fiercely against the knights.
Th"&amp;"e battle raged on for days, with neither side gaining the upper hand. But in the end, the knights emerged victorious. They managed to push the explorers back to the entrance of the caverns, and they sealed the entrance shut with a powerful spell.
From th"&amp;"at day forward, the Komodo Dragon Knights have guarded the caverns with all their might. They have trained rigorously, mastering the art of combat and learning to navigate the treacherous tunnels with ease. They have also become skilled miners, using thei"&amp;"r knowledge of the caverns to extract the valuable minerals that lie within.
Today, the Komodo Caverns are a place of legend, whispered about in hushed tones by adventurers and treasure-seekers. Some have tried to enter the caverns, hoping to claim the v"&amp;"aluable minerals for themselves, but none have ever returned. The knights remain vigilant, ready to defend their home and their treasure against all who would dare to challenge them.")</f>
        <v>Long ago, the Komodo Caverns were discovered by a group of explorers who were searching for new sources of valuable minerals. The caverns were unlike anything they had ever seen before, with sprawling tunnels and vast chambers that stretched for miles underground. The explorers were in awe of the natural beauty of the caves, but they soon discovered that they were not alone.
Deep within the caverns, they encountered a group of knights who were unlike any they had ever seen before. These knights were fierce warriors, clad in armor made from the scales of Komodo dragons. They carried swords that glinted in the darkness, and their eyes glowed with an otherworldly light.
The knights were the guardians of the caverns, and they had been tasked with protecting the valuable minerals that lay within. They were sworn to secrecy, and they had never allowed anyone to enter the caverns before. But the explorers had stumbled upon their secret, and they knew that they had to act quickly to protect their treasure.
The knights chased the explorers deep into the caverns, using their knowledge of the tunnels to outmaneuver them at every turn. But the explorers were determined to claim the valuable minerals for themselves, and they fought fiercely against the knights.
The battle raged on for days, with neither side gaining the upper hand. But in the end, the knights emerged victorious. They managed to push the explorers back to the entrance of the caverns, and they sealed the entrance shut with a powerful spell.
From that day forward, the Komodo Dragon Knights have guarded the caverns with all their might. They have trained rigorously, mastering the art of combat and learning to navigate the treacherous tunnels with ease. They have also become skilled miners, using their knowledge of the caverns to extract the valuable minerals that lie within.
Today, the Komodo Caverns are a place of legend, whispered about in hushed tones by adventurers and treasure-seekers. Some have tried to enter the caverns, hoping to claim the valuable minerals for themselves, but none have ever returned. The knights remain vigilant, ready to defend their home and their treasure against all who would dare to challenge them.</v>
      </c>
      <c r="C77" s="2" t="str">
        <f>IFERROR(__xludf.DUMMYFUNCTION("""COMPUTED_VALUE"""),"Dragonscale Island")</f>
        <v>Dragonscale Island</v>
      </c>
      <c r="D77" s="2"/>
      <c r="E77" s="16">
        <f>IFERROR(__xludf.DUMMYFUNCTION("""COMPUTED_VALUE"""),1.0E9)</f>
        <v>1000000000</v>
      </c>
      <c r="F77" s="2" t="str">
        <f>IFERROR(__xludf.DUMMYFUNCTION("""COMPUTED_VALUE"""),"Gilder")</f>
        <v>Gilder</v>
      </c>
      <c r="G77" s="2"/>
      <c r="H77" s="2"/>
      <c r="I77" s="2"/>
      <c r="J77" s="2"/>
      <c r="K77" s="2"/>
      <c r="L77" s="2"/>
      <c r="M77" s="2"/>
      <c r="N77" s="2"/>
      <c r="O77" s="2"/>
      <c r="P77" s="2"/>
      <c r="Q77" s="2"/>
      <c r="R77" s="2"/>
      <c r="S77" s="2"/>
      <c r="T77" s="2"/>
      <c r="U77" s="2"/>
      <c r="V77" s="2"/>
      <c r="W77" s="2"/>
      <c r="X77" s="2"/>
      <c r="Y77" s="2"/>
      <c r="Z77" s="2"/>
    </row>
    <row r="78">
      <c r="A78" s="2" t="str">
        <f>IFERROR(__xludf.DUMMYFUNCTION("""COMPUTED_VALUE"""),"DragonTear Lake (Eye of The Dragon)")</f>
        <v>DragonTear Lake (Eye of The Dragon)</v>
      </c>
      <c r="B78" s="2" t="str">
        <f>IFERROR(__xludf.DUMMYFUNCTION("""COMPUTED_VALUE"""),"DragonTear Lake, or the Eye of the Dragon as it is sometimes called, is a mysterious body of water that is shrouded in legends and rumors. According to local lore, the lake was formed by a powerful dragon that once inhabited the area. The creature was sai"&amp;"d to be so fearsome that it could breathe fire and ice, and its scales were as hard as steel. Many brave adventurers tried to slay the dragon and claim its hoard of treasure, but none were successful.
Eventually, a group of powerful mages and warriors ba"&amp;"nded together to defeat the dragon once and for all. They managed to slay the beast, but not before it let out one final roar that shook the ground and split the earth. From the spot where the dragon fell, a great lake sprung up, and it was said that the "&amp;"tears shed by the dragon as it died mixed with the water, giving it its unique properties.
However, as time passed, strange things began to happen around the lake. Travelers reported seeing ghostly figures walking along its shores, and some claimed that "&amp;"they could hear the dragon's roar echoing through the night. Fishermen who dared to cast their lines into the lake often came back with strange and twisted catches, and those who ventured into the water often reported feeling an ominous presence watching "&amp;"them from below.
Despite its dangers, many adventurers still flock to DragonTear Lake in search of treasure and adventure. Some even believe that the lake holds the key to unlocking ancient magic or hidden knowledge. But whether they will emerge from its"&amp;" depths unscathed, or if they will fall victim to the dragon's curse, remains to be seen.")</f>
        <v>DragonTear Lake, or the Eye of the Dragon as it is sometimes called, is a mysterious body of water that is shrouded in legends and rumors. According to local lore, the lake was formed by a powerful dragon that once inhabited the area. The creature was said to be so fearsome that it could breathe fire and ice, and its scales were as hard as steel. Many brave adventurers tried to slay the dragon and claim its hoard of treasure, but none were successful.
Eventually, a group of powerful mages and warriors banded together to defeat the dragon once and for all. They managed to slay the beast, but not before it let out one final roar that shook the ground and split the earth. From the spot where the dragon fell, a great lake sprung up, and it was said that the tears shed by the dragon as it died mixed with the water, giving it its unique properties.
However, as time passed, strange things began to happen around the lake. Travelers reported seeing ghostly figures walking along its shores, and some claimed that they could hear the dragon's roar echoing through the night. Fishermen who dared to cast their lines into the lake often came back with strange and twisted catches, and those who ventured into the water often reported feeling an ominous presence watching them from below.
Despite its dangers, many adventurers still flock to DragonTear Lake in search of treasure and adventure. Some even believe that the lake holds the key to unlocking ancient magic or hidden knowledge. But whether they will emerge from its depths unscathed, or if they will fall victim to the dragon's curse, remains to be seen.</v>
      </c>
      <c r="C78" s="2" t="str">
        <f>IFERROR(__xludf.DUMMYFUNCTION("""COMPUTED_VALUE"""),"Dragonscale Island")</f>
        <v>Dragonscale Island</v>
      </c>
      <c r="D78" s="2"/>
      <c r="E78" s="16">
        <f>IFERROR(__xludf.DUMMYFUNCTION("""COMPUTED_VALUE"""),1.0E9)</f>
        <v>1000000000</v>
      </c>
      <c r="F78" s="2" t="str">
        <f>IFERROR(__xludf.DUMMYFUNCTION("""COMPUTED_VALUE"""),"Gilder")</f>
        <v>Gilder</v>
      </c>
      <c r="G78" s="2"/>
      <c r="H78" s="2"/>
      <c r="I78" s="2"/>
      <c r="J78" s="2"/>
      <c r="K78" s="2"/>
      <c r="L78" s="2"/>
      <c r="M78" s="2"/>
      <c r="N78" s="2"/>
      <c r="O78" s="2"/>
      <c r="P78" s="2"/>
      <c r="Q78" s="2"/>
      <c r="R78" s="2"/>
      <c r="S78" s="2"/>
      <c r="T78" s="2"/>
      <c r="U78" s="2"/>
      <c r="V78" s="2"/>
      <c r="W78" s="2"/>
      <c r="X78" s="2"/>
      <c r="Y78" s="2"/>
      <c r="Z78" s="2"/>
    </row>
    <row r="79">
      <c r="A79" s="2" t="str">
        <f>IFERROR(__xludf.DUMMYFUNCTION("""COMPUTED_VALUE"""),"DragonScale Summit")</f>
        <v>DragonScale Summit</v>
      </c>
      <c r="B79" s="2" t="str">
        <f>IFERROR(__xludf.DUMMYFUNCTION("""COMPUTED_VALUE"""),"DragonScale Summit is a frozen fortress perched high atop a mountain peak that is said to be the home of the most powerful dragons and lizardkin in the land. The summit was built by Lord Dracus Dragonscale, the ruler of DragonScale Island, who was known t"&amp;"hroughout the land as a fierce warrior and a brilliant strategist.
As a young dragon, Dracus was forced to flee his home when a rival dragon clan took over his island. He vowed to one day return and reclaim his birthright, and after years of training and"&amp;" planning, he gathered a band of loyal followers and set out to retake the island. The battle was long and grueling, but in the end, Dracus emerged victorious, and he declared himself the new ruler of DragonScale Island.
With his power secured, Dracus se"&amp;"t out to build a fortress that would be impervious to any attack. He chose the highest peak in the region, a place where the winds were fierce and the snow never melted, and there he began construction on the DragonScale Summit. The fortress was made enti"&amp;"rely of ice and reinforced with magic, and its walls were so thick that no weapon could penetrate them.
Dracus soon became known as the Lord of DragonScale Summit, and his reputation as a powerful and just ruler spread throughout the land. Many dragons a"&amp;"nd lizardkin from all corners of the world came to swear fealty to him, and they pledged their loyalty to his cause.
Today, DragonScale Summit stands as a symbol of Dracus's power and might. It is said that he and his followers continue to dwell there, w"&amp;"atching over the land and waiting for any who would challenge their rule. Some adventurers have attempted to breach the fortress, but none have ever succeeded, and those who have tried are said to have met a terrible fate at the hands of Lord Dracus and h"&amp;"is dragon and lizardkin followers.")</f>
        <v>DragonScale Summit is a frozen fortress perched high atop a mountain peak that is said to be the home of the most powerful dragons and lizardkin in the land. The summit was built by Lord Dracus Dragonscale, the ruler of DragonScale Island, who was known throughout the land as a fierce warrior and a brilliant strategist.
As a young dragon, Dracus was forced to flee his home when a rival dragon clan took over his island. He vowed to one day return and reclaim his birthright, and after years of training and planning, he gathered a band of loyal followers and set out to retake the island. The battle was long and grueling, but in the end, Dracus emerged victorious, and he declared himself the new ruler of DragonScale Island.
With his power secured, Dracus set out to build a fortress that would be impervious to any attack. He chose the highest peak in the region, a place where the winds were fierce and the snow never melted, and there he began construction on the DragonScale Summit. The fortress was made entirely of ice and reinforced with magic, and its walls were so thick that no weapon could penetrate them.
Dracus soon became known as the Lord of DragonScale Summit, and his reputation as a powerful and just ruler spread throughout the land. Many dragons and lizardkin from all corners of the world came to swear fealty to him, and they pledged their loyalty to his cause.
Today, DragonScale Summit stands as a symbol of Dracus's power and might. It is said that he and his followers continue to dwell there, watching over the land and waiting for any who would challenge their rule. Some adventurers have attempted to breach the fortress, but none have ever succeeded, and those who have tried are said to have met a terrible fate at the hands of Lord Dracus and his dragon and lizardkin followers.</v>
      </c>
      <c r="C79" s="2" t="str">
        <f>IFERROR(__xludf.DUMMYFUNCTION("""COMPUTED_VALUE"""),"Dragonscale Island")</f>
        <v>Dragonscale Island</v>
      </c>
      <c r="D79" s="2"/>
      <c r="E79" s="16">
        <f>IFERROR(__xludf.DUMMYFUNCTION("""COMPUTED_VALUE"""),1.0E9)</f>
        <v>1000000000</v>
      </c>
      <c r="F79" s="2" t="str">
        <f>IFERROR(__xludf.DUMMYFUNCTION("""COMPUTED_VALUE"""),"Gilder")</f>
        <v>Gilder</v>
      </c>
      <c r="G79" s="2"/>
      <c r="H79" s="2"/>
      <c r="I79" s="2"/>
      <c r="J79" s="2"/>
      <c r="K79" s="2"/>
      <c r="L79" s="2"/>
      <c r="M79" s="2"/>
      <c r="N79" s="2"/>
      <c r="O79" s="2"/>
      <c r="P79" s="2"/>
      <c r="Q79" s="2"/>
      <c r="R79" s="2"/>
      <c r="S79" s="2"/>
      <c r="T79" s="2"/>
      <c r="U79" s="2"/>
      <c r="V79" s="2"/>
      <c r="W79" s="2"/>
      <c r="X79" s="2"/>
      <c r="Y79" s="2"/>
      <c r="Z79" s="2"/>
    </row>
    <row r="80">
      <c r="A80" s="2" t="str">
        <f>IFERROR(__xludf.DUMMYFUNCTION("""COMPUTED_VALUE"""),"DragonScale Vale")</f>
        <v>DragonScale Vale</v>
      </c>
      <c r="B80" s="2" t="str">
        <f>IFERROR(__xludf.DUMMYFUNCTION("""COMPUTED_VALUE"""),"DragonScale Vale is a vast open valley that stretches for miles along the coast. It is surrounded by towering mountains and lush forests that are home to all kinds of dragons and lizardkin. Despite the abundance of fierce creatures, the valley is known fo"&amp;"r its peace and neutrality. It is said that even the most bitter enemies will set aside their differences when they enter DragonScale Vale.
The valley's peaceful reputation is due in large part to its founder, a wise and powerful dragon named Scaleheart."&amp;" Scaleheart was once a fierce warrior who had fought in many battles and wars, but after witnessing the devastation and suffering caused by such conflicts, he decided to turn his back on violence and seek a more peaceful path.
He gathered a group of like"&amp;"-minded dragons and lizardkin and founded DragonScale Vale as a neutral ground where all could come to live and trade without fear of attack. He also established strict laws that forbade any act of violence within the valley's borders. Anyone who broke th"&amp;"e laws would be banished from the valley forever.
Despite its peaceful nature, DragonScale Vale is not without its dangers. Many adventurers have been lured into the valley by the promise of treasure or adventure, only to be faced with fierce creatures t"&amp;"hat call the valley home. But those who come in peace and respect the laws of the land will find a welcoming community of dragons and lizardkin who are always eager to trade and share their knowledge.
Today, DragonScale Vale is a thriving hub of trade an"&amp;"d commerce, where dragons and lizardkin of all kinds come to exchange goods and ideas. The valley's peaceful reputation has made it a popular destination for travelers and traders alike, and it continues to be a beacon of hope for those who seek a better "&amp;"way of life.")</f>
        <v>DragonScale Vale is a vast open valley that stretches for miles along the coast. It is surrounded by towering mountains and lush forests that are home to all kinds of dragons and lizardkin. Despite the abundance of fierce creatures, the valley is known for its peace and neutrality. It is said that even the most bitter enemies will set aside their differences when they enter DragonScale Vale.
The valley's peaceful reputation is due in large part to its founder, a wise and powerful dragon named Scaleheart. Scaleheart was once a fierce warrior who had fought in many battles and wars, but after witnessing the devastation and suffering caused by such conflicts, he decided to turn his back on violence and seek a more peaceful path.
He gathered a group of like-minded dragons and lizardkin and founded DragonScale Vale as a neutral ground where all could come to live and trade without fear of attack. He also established strict laws that forbade any act of violence within the valley's borders. Anyone who broke the laws would be banished from the valley forever.
Despite its peaceful nature, DragonScale Vale is not without its dangers. Many adventurers have been lured into the valley by the promise of treasure or adventure, only to be faced with fierce creatures that call the valley home. But those who come in peace and respect the laws of the land will find a welcoming community of dragons and lizardkin who are always eager to trade and share their knowledge.
Today, DragonScale Vale is a thriving hub of trade and commerce, where dragons and lizardkin of all kinds come to exchange goods and ideas. The valley's peaceful reputation has made it a popular destination for travelers and traders alike, and it continues to be a beacon of hope for those who seek a better way of life.</v>
      </c>
      <c r="C80" s="2" t="str">
        <f>IFERROR(__xludf.DUMMYFUNCTION("""COMPUTED_VALUE"""),"Dragonscale Island")</f>
        <v>Dragonscale Island</v>
      </c>
      <c r="D80" s="2"/>
      <c r="E80" s="16">
        <f>IFERROR(__xludf.DUMMYFUNCTION("""COMPUTED_VALUE"""),1.0E9)</f>
        <v>1000000000</v>
      </c>
      <c r="F80" s="2" t="str">
        <f>IFERROR(__xludf.DUMMYFUNCTION("""COMPUTED_VALUE"""),"Gilder")</f>
        <v>Gilder</v>
      </c>
      <c r="G80" s="2"/>
      <c r="H80" s="2"/>
      <c r="I80" s="2"/>
      <c r="J80" s="2"/>
      <c r="K80" s="2"/>
      <c r="L80" s="2"/>
      <c r="M80" s="2"/>
      <c r="N80" s="2"/>
      <c r="O80" s="2"/>
      <c r="P80" s="2"/>
      <c r="Q80" s="2"/>
      <c r="R80" s="2"/>
      <c r="S80" s="2"/>
      <c r="T80" s="2"/>
      <c r="U80" s="2"/>
      <c r="V80" s="2"/>
      <c r="W80" s="2"/>
      <c r="X80" s="2"/>
      <c r="Y80" s="2"/>
      <c r="Z80" s="2"/>
    </row>
    <row r="81">
      <c r="A81" s="2" t="str">
        <f>IFERROR(__xludf.DUMMYFUNCTION("""COMPUTED_VALUE"""),"DragonScale Grotto")</f>
        <v>DragonScale Grotto</v>
      </c>
      <c r="B81" s="2" t="str">
        <f>IFERROR(__xludf.DUMMYFUNCTION("""COMPUTED_VALUE"""),"DragonScale Grotto is a secret passage that winds its way through the mountains leading to the summit of DragonScale Summit. It was discovered by Lord Dracus Dragonscale himself, who needed a safe and secret route to travel to and from his fortress.
The "&amp;"grotto is hidden from view, and its entrance is located deep within a dense forest that is notoriously difficult to navigate. Only a select few know of its existence, and they guard its location fiercely.
The grotto itself is a twisting maze of tunnels a"&amp;"nd caverns that have been carved out of the mountain over thousands of years. It is said that the tunnels were originally used by an ancient race of dragons who sought refuge from the world above.
The grotto's exit, however, is guarded by a fierce ice dr"&amp;"agon named Frostbite, who is a loyal servant to Lord Dracus Dragonscale. Frostbite is a formidable opponent, with razor-sharp claws and teeth that can slice through steel. He is fiercely protective of his master and will stop at nothing to ensure the safe"&amp;"ty of DragonScale Summit.
Many adventurers have attempted to navigate the treacherous tunnels of DragonScale Grotto in the hopes of reaching DragonScale Summit, but few have ever made it past Frostbite. The ice dragon is an expert at detecting intruders "&amp;"and will attack anyone who tries to pass through the grotto without permission.
Today, DragonScale Grotto remains a well-kept secret, known only to a select few who are trusted by Lord Dracus Dragonscale. Its existence is a testament to the power and inf"&amp;"luence of the dragon lord, and it serves as a reminder that even the most well-guarded fortress can be breached by those who are brave enough to try.")</f>
        <v>DragonScale Grotto is a secret passage that winds its way through the mountains leading to the summit of DragonScale Summit. It was discovered by Lord Dracus Dragonscale himself, who needed a safe and secret route to travel to and from his fortress.
The grotto is hidden from view, and its entrance is located deep within a dense forest that is notoriously difficult to navigate. Only a select few know of its existence, and they guard its location fiercely.
The grotto itself is a twisting maze of tunnels and caverns that have been carved out of the mountain over thousands of years. It is said that the tunnels were originally used by an ancient race of dragons who sought refuge from the world above.
The grotto's exit, however, is guarded by a fierce ice dragon named Frostbite, who is a loyal servant to Lord Dracus Dragonscale. Frostbite is a formidable opponent, with razor-sharp claws and teeth that can slice through steel. He is fiercely protective of his master and will stop at nothing to ensure the safety of DragonScale Summit.
Many adventurers have attempted to navigate the treacherous tunnels of DragonScale Grotto in the hopes of reaching DragonScale Summit, but few have ever made it past Frostbite. The ice dragon is an expert at detecting intruders and will attack anyone who tries to pass through the grotto without permission.
Today, DragonScale Grotto remains a well-kept secret, known only to a select few who are trusted by Lord Dracus Dragonscale. Its existence is a testament to the power and influence of the dragon lord, and it serves as a reminder that even the most well-guarded fortress can be breached by those who are brave enough to try.</v>
      </c>
      <c r="C81" s="2" t="str">
        <f>IFERROR(__xludf.DUMMYFUNCTION("""COMPUTED_VALUE"""),"Dragonscale Island")</f>
        <v>Dragonscale Island</v>
      </c>
      <c r="D81" s="2"/>
      <c r="E81" s="16">
        <f>IFERROR(__xludf.DUMMYFUNCTION("""COMPUTED_VALUE"""),1.0E9)</f>
        <v>1000000000</v>
      </c>
      <c r="F81" s="2" t="str">
        <f>IFERROR(__xludf.DUMMYFUNCTION("""COMPUTED_VALUE"""),"Gilder")</f>
        <v>Gilder</v>
      </c>
      <c r="G81" s="2"/>
      <c r="H81" s="2"/>
      <c r="I81" s="2"/>
      <c r="J81" s="2"/>
      <c r="K81" s="2"/>
      <c r="L81" s="2"/>
      <c r="M81" s="2"/>
      <c r="N81" s="2"/>
      <c r="O81" s="2"/>
      <c r="P81" s="2"/>
      <c r="Q81" s="2"/>
      <c r="R81" s="2"/>
      <c r="S81" s="2"/>
      <c r="T81" s="2"/>
      <c r="U81" s="2"/>
      <c r="V81" s="2"/>
      <c r="W81" s="2"/>
      <c r="X81" s="2"/>
      <c r="Y81" s="2"/>
      <c r="Z81" s="2"/>
    </row>
    <row r="82">
      <c r="A82" s="2" t="str">
        <f>IFERROR(__xludf.DUMMYFUNCTION("""COMPUTED_VALUE"""),"Lava Lizard Lake")</f>
        <v>Lava Lizard Lake</v>
      </c>
      <c r="B82" s="2" t="str">
        <f>IFERROR(__xludf.DUMMYFUNCTION("""COMPUTED_VALUE"""),"Lava Lizard Lake is a place of intense heat and flames, surrounded by towering mountains and deep valleys. The lake is fed by a nearby volcano, which spews hot molten lava into its waters, creating a dangerous and fiery environment.
The lake is home to a"&amp;"ll manner of fiery creatures, including dragons and elemental spirits of fire. The dragons are fierce and territorial, guarding their domain with ferocity and cunning. The elementals are equally powerful, able to control and manipulate the flames of the l"&amp;"ake to their will.
Despite the danger, Lava Lizard Lake is also home to a unique species of lizard, known as the Lava Lizard. These creatures are able to survive in the intense heat and flames of the lake, and they are free to roam the area without fear "&amp;"of attack from the dragons and elementals.
The origin of Lava Lizard Lake is shrouded in mystery, with many tales and legends surrounding its creation. Some say that it was formed by an ancient dragon who was so powerful that his very presence caused the"&amp;" earth to shake and the mountains to tremble. Others say that it was created by a powerful wizard who sought to harness the power of the volcano and the elementals that dwelled within.
Whatever the origin of the lake, it remains a place of intense power "&amp;"and danger, with only the bravest and most skilled adventurers daring to venture into its fiery depths. The dragons and elementals that guard the lake are feared and respected by all who know of their power, and the Lava Lizards that call the lake home ar"&amp;"e revered for their ability to survive in such an inhospitable environment.")</f>
        <v>Lava Lizard Lake is a place of intense heat and flames, surrounded by towering mountains and deep valleys. The lake is fed by a nearby volcano, which spews hot molten lava into its waters, creating a dangerous and fiery environment.
The lake is home to all manner of fiery creatures, including dragons and elemental spirits of fire. The dragons are fierce and territorial, guarding their domain with ferocity and cunning. The elementals are equally powerful, able to control and manipulate the flames of the lake to their will.
Despite the danger, Lava Lizard Lake is also home to a unique species of lizard, known as the Lava Lizard. These creatures are able to survive in the intense heat and flames of the lake, and they are free to roam the area without fear of attack from the dragons and elementals.
The origin of Lava Lizard Lake is shrouded in mystery, with many tales and legends surrounding its creation. Some say that it was formed by an ancient dragon who was so powerful that his very presence caused the earth to shake and the mountains to tremble. Others say that it was created by a powerful wizard who sought to harness the power of the volcano and the elementals that dwelled within.
Whatever the origin of the lake, it remains a place of intense power and danger, with only the bravest and most skilled adventurers daring to venture into its fiery depths. The dragons and elementals that guard the lake are feared and respected by all who know of their power, and the Lava Lizards that call the lake home are revered for their ability to survive in such an inhospitable environment.</v>
      </c>
      <c r="C82" s="2" t="str">
        <f>IFERROR(__xludf.DUMMYFUNCTION("""COMPUTED_VALUE"""),"Dragonscale Island")</f>
        <v>Dragonscale Island</v>
      </c>
      <c r="D82" s="2"/>
      <c r="E82" s="16">
        <f>IFERROR(__xludf.DUMMYFUNCTION("""COMPUTED_VALUE"""),1.0E9)</f>
        <v>1000000000</v>
      </c>
      <c r="F82" s="2" t="str">
        <f>IFERROR(__xludf.DUMMYFUNCTION("""COMPUTED_VALUE"""),"Gilder")</f>
        <v>Gilder</v>
      </c>
      <c r="G82" s="2"/>
      <c r="H82" s="2"/>
      <c r="I82" s="2"/>
      <c r="J82" s="2"/>
      <c r="K82" s="2"/>
      <c r="L82" s="2"/>
      <c r="M82" s="2"/>
      <c r="N82" s="2"/>
      <c r="O82" s="2"/>
      <c r="P82" s="2"/>
      <c r="Q82" s="2"/>
      <c r="R82" s="2"/>
      <c r="S82" s="2"/>
      <c r="T82" s="2"/>
      <c r="U82" s="2"/>
      <c r="V82" s="2"/>
      <c r="W82" s="2"/>
      <c r="X82" s="2"/>
      <c r="Y82" s="2"/>
      <c r="Z82" s="2"/>
    </row>
    <row r="83">
      <c r="A83" s="2" t="str">
        <f>IFERROR(__xludf.DUMMYFUNCTION("""COMPUTED_VALUE"""),"Crypts of the Ancient One")</f>
        <v>Crypts of the Ancient One</v>
      </c>
      <c r="B83" s="2" t="str">
        <f>IFERROR(__xludf.DUMMYFUNCTION("""COMPUTED_VALUE"""),"The Crypts of the Ancient One are a dark and foreboding place, lying east of the infamous DragonScale Dungeon. The crypts are a series of interconnected catacombs and burial chambers, where the remains of ancient and forgotten civilizations lie entombed.
"&amp;"
Legend has it that the Crypts were created by an ancient dragon, who sought to protect his hoard of treasure and artifacts from would-be thieves and adventurers. The dragon was said to be one of the most powerful and fearsome creatures to ever roam the l"&amp;"and, and his power was such that even after his death, his spirit remained trapped within the crypts.
Over the centuries, countless adventurers and treasure-seekers have ventured into the Crypts of the Ancient One, hoping to claim the dragon's hoard for "&amp;"themselves. However, few have ever returned, and those who do tell tales of cursed treasure, undead guardians, and the soul of the ancient dragon that still haunts the crypts to this day.
Despite the dangers, some adventurers are still drawn to the Crypt"&amp;"s, seeking to test their mettle against the legendary guardians and claim the dragon's hoard for themselves. Many believe that the treasure within the Crypts is beyond imagination, filled with powerful magical artifacts, ancient relics, and more gold than"&amp;" anyone could ever spend in a lifetime.
However, the Crypts of the Ancient One are not a place for the faint of heart. Only the bravest and most skilled adventurers dare to enter its depths, and even they may not return unscathed. The legend of the ancie"&amp;"nt dragon still looms large over the Crypts, and his power is such that even in death, he continues to guard his treasure with fierce determination.")</f>
        <v>The Crypts of the Ancient One are a dark and foreboding place, lying east of the infamous DragonScale Dungeon. The crypts are a series of interconnected catacombs and burial chambers, where the remains of ancient and forgotten civilizations lie entombed.
Legend has it that the Crypts were created by an ancient dragon, who sought to protect his hoard of treasure and artifacts from would-be thieves and adventurers. The dragon was said to be one of the most powerful and fearsome creatures to ever roam the land, and his power was such that even after his death, his spirit remained trapped within the crypts.
Over the centuries, countless adventurers and treasure-seekers have ventured into the Crypts of the Ancient One, hoping to claim the dragon's hoard for themselves. However, few have ever returned, and those who do tell tales of cursed treasure, undead guardians, and the soul of the ancient dragon that still haunts the crypts to this day.
Despite the dangers, some adventurers are still drawn to the Crypts, seeking to test their mettle against the legendary guardians and claim the dragon's hoard for themselves. Many believe that the treasure within the Crypts is beyond imagination, filled with powerful magical artifacts, ancient relics, and more gold than anyone could ever spend in a lifetime.
However, the Crypts of the Ancient One are not a place for the faint of heart. Only the bravest and most skilled adventurers dare to enter its depths, and even they may not return unscathed. The legend of the ancient dragon still looms large over the Crypts, and his power is such that even in death, he continues to guard his treasure with fierce determination.</v>
      </c>
      <c r="C83" s="2" t="str">
        <f>IFERROR(__xludf.DUMMYFUNCTION("""COMPUTED_VALUE"""),"Dragonscale Island")</f>
        <v>Dragonscale Island</v>
      </c>
      <c r="D83" s="2"/>
      <c r="E83" s="16">
        <f>IFERROR(__xludf.DUMMYFUNCTION("""COMPUTED_VALUE"""),1.0E9)</f>
        <v>1000000000</v>
      </c>
      <c r="F83" s="2" t="str">
        <f>IFERROR(__xludf.DUMMYFUNCTION("""COMPUTED_VALUE"""),"Gilder")</f>
        <v>Gilder</v>
      </c>
      <c r="G83" s="2"/>
      <c r="H83" s="2"/>
      <c r="I83" s="2"/>
      <c r="J83" s="2"/>
      <c r="K83" s="2"/>
      <c r="L83" s="2"/>
      <c r="M83" s="2"/>
      <c r="N83" s="2"/>
      <c r="O83" s="2"/>
      <c r="P83" s="2"/>
      <c r="Q83" s="2"/>
      <c r="R83" s="2"/>
      <c r="S83" s="2"/>
      <c r="T83" s="2"/>
      <c r="U83" s="2"/>
      <c r="V83" s="2"/>
      <c r="W83" s="2"/>
      <c r="X83" s="2"/>
      <c r="Y83" s="2"/>
      <c r="Z83" s="2"/>
    </row>
    <row r="84">
      <c r="A84" s="2" t="str">
        <f>IFERROR(__xludf.DUMMYFUNCTION("""COMPUTED_VALUE"""),"DragonScale Arena")</f>
        <v>DragonScale Arena</v>
      </c>
      <c r="B84" s="2" t="str">
        <f>IFERROR(__xludf.DUMMYFUNCTION("""COMPUTED_VALUE"""),"The DragonScale Arena has been around for centuries, dating back to a time when dragons roamed the lands and clashed with humans for supremacy. In those days, the arena was a place of bloody battles, with knights and warriors fighting to prove their worth"&amp;" against the fearsome dragons.
Over time, the arena evolved into a hub for adventurers seeking fame and fortune. It became a place where people from all walks of life could test their strength and skill against the fiercest opponents, be it a dragon, a k"&amp;"night, a lizard, or a wizard.
The arena was originally built by a group of powerful mages who sought to harness the power of the dragons that once inhabited the area. They used their magic to create a massive, circular arena with towering walls and a san"&amp;"dy floor that could withstand the flames and claws of the dragons.
As the years passed, the arena's popularity grew, and chariot racing was added to the list of events. The races were a spectacle to behold, with chariots pulled by horses, griffins, and e"&amp;"ven wyverns, racing around the arena at breakneck speeds.
The arena has seen many champions come and go, but none have been as legendary as the DragonSlayers, a group of adventurers who gained fame and fortune by slaying dragons in the arena. Led by a ch"&amp;"arismatic warrior named Galen, the DragonSlayers became an unstoppable force, taking on even the most fearsome dragons with ease.
Despite its long and storied history, the DragonScale Arena has faced many challenges over the years. The dragons that once "&amp;"roamed the area are now rare, and some have even been hunted to extinction. The arena has had to adapt, introducing new opponents like lizards and wizards to keep the crowds entertained.
But even in the face of adversity, the DragonScale Arena continues "&amp;"to thrive, drawing adventurers and thrill-seekers from far and wide. And as long as there are those willing to test their mettle against the arena's fiercest opponents, it will remain a staple of DragonScale Island.")</f>
        <v>The DragonScale Arena has been around for centuries, dating back to a time when dragons roamed the lands and clashed with humans for supremacy. In those days, the arena was a place of bloody battles, with knights and warriors fighting to prove their worth against the fearsome dragons.
Over time, the arena evolved into a hub for adventurers seeking fame and fortune. It became a place where people from all walks of life could test their strength and skill against the fiercest opponents, be it a dragon, a knight, a lizard, or a wizard.
The arena was originally built by a group of powerful mages who sought to harness the power of the dragons that once inhabited the area. They used their magic to create a massive, circular arena with towering walls and a sandy floor that could withstand the flames and claws of the dragons.
As the years passed, the arena's popularity grew, and chariot racing was added to the list of events. The races were a spectacle to behold, with chariots pulled by horses, griffins, and even wyverns, racing around the arena at breakneck speeds.
The arena has seen many champions come and go, but none have been as legendary as the DragonSlayers, a group of adventurers who gained fame and fortune by slaying dragons in the arena. Led by a charismatic warrior named Galen, the DragonSlayers became an unstoppable force, taking on even the most fearsome dragons with ease.
Despite its long and storied history, the DragonScale Arena has faced many challenges over the years. The dragons that once roamed the area are now rare, and some have even been hunted to extinction. The arena has had to adapt, introducing new opponents like lizards and wizards to keep the crowds entertained.
But even in the face of adversity, the DragonScale Arena continues to thrive, drawing adventurers and thrill-seekers from far and wide. And as long as there are those willing to test their mettle against the arena's fiercest opponents, it will remain a staple of DragonScale Island.</v>
      </c>
      <c r="C84" s="2" t="str">
        <f>IFERROR(__xludf.DUMMYFUNCTION("""COMPUTED_VALUE"""),"Dragonscale Island")</f>
        <v>Dragonscale Island</v>
      </c>
      <c r="D84" s="2"/>
      <c r="E84" s="16">
        <f>IFERROR(__xludf.DUMMYFUNCTION("""COMPUTED_VALUE"""),1.0E9)</f>
        <v>1000000000</v>
      </c>
      <c r="F84" s="2" t="str">
        <f>IFERROR(__xludf.DUMMYFUNCTION("""COMPUTED_VALUE"""),"Gilder")</f>
        <v>Gilder</v>
      </c>
      <c r="G84" s="2"/>
      <c r="H84" s="2"/>
      <c r="I84" s="2"/>
      <c r="J84" s="2"/>
      <c r="K84" s="2"/>
      <c r="L84" s="2"/>
      <c r="M84" s="2"/>
      <c r="N84" s="2"/>
      <c r="O84" s="2"/>
      <c r="P84" s="2"/>
      <c r="Q84" s="2"/>
      <c r="R84" s="2"/>
      <c r="S84" s="2"/>
      <c r="T84" s="2"/>
      <c r="U84" s="2"/>
      <c r="V84" s="2"/>
      <c r="W84" s="2"/>
      <c r="X84" s="2"/>
      <c r="Y84" s="2"/>
      <c r="Z84" s="2"/>
    </row>
    <row r="85">
      <c r="A85" s="2" t="str">
        <f>IFERROR(__xludf.DUMMYFUNCTION("""COMPUTED_VALUE"""),"Thundertail Falls")</f>
        <v>Thundertail Falls</v>
      </c>
      <c r="B85" s="2" t="str">
        <f>IFERROR(__xludf.DUMMYFUNCTION("""COMPUTED_VALUE"""),"Thundertail Falls is an area of great natural beauty, nestled deep in the heart of a rugged, mountainous landscape. The falls themselves are fed by the icy waters that flow down from Mount Thunderoot, a towering peak that dominates the surrounding area.
"&amp;"For centuries, the falls were revered by the local people, who believed them to be a sacred site imbued with mystical powers. It was said that the thunderous roar of the falls could be heard from miles around, and that the waters held healing properties c"&amp;"apable of curing even the most deadly of illnesses.
The falls were also home to a thriving community of animals, including the mighty Thundertail, a species of thunderous lizard that roamed the area. These creatures were feared and respected by the local"&amp;"s, who believed that they were the guardians of the falls and the surrounding wilderness.
Over time, the area became a hub for adventurers and explorers, drawn by the promise of ancient treasures and forgotten knowledge. Many came seeking the fabled Thun"&amp;"derstone, a rare and powerful gem said to be hidden somewhere in the falls. Others were drawn by the allure of the Thundertail, hoping to capture or tame the fearsome beasts.
As more and more people came to the area, the local ecosystem began to suffer. "&amp;"The Thundertail, once a common sight, became increasingly rare, and the waters of the falls became polluted and toxic. The once-pristine wilderness became a battleground, with adventurers and poachers fighting over resources and territory.
Today, Thunder"&amp;"tail Falls is a shadow of its former self. The Thundertail are all but extinct, and the waters of the falls are a murky, polluted mess. But despite the damage done to the area, there are still those who believe in its mystical powers and its potential for"&amp;" adventure. For those brave enough to venture into its depths, Thundertail Falls remains")</f>
        <v>Thundertail Falls is an area of great natural beauty, nestled deep in the heart of a rugged, mountainous landscape. The falls themselves are fed by the icy waters that flow down from Mount Thunderoot, a towering peak that dominates the surrounding area.
For centuries, the falls were revered by the local people, who believed them to be a sacred site imbued with mystical powers. It was said that the thunderous roar of the falls could be heard from miles around, and that the waters held healing properties capable of curing even the most deadly of illnesses.
The falls were also home to a thriving community of animals, including the mighty Thundertail, a species of thunderous lizard that roamed the area. These creatures were feared and respected by the locals, who believed that they were the guardians of the falls and the surrounding wilderness.
Over time, the area became a hub for adventurers and explorers, drawn by the promise of ancient treasures and forgotten knowledge. Many came seeking the fabled Thunderstone, a rare and powerful gem said to be hidden somewhere in the falls. Others were drawn by the allure of the Thundertail, hoping to capture or tame the fearsome beasts.
As more and more people came to the area, the local ecosystem began to suffer. The Thundertail, once a common sight, became increasingly rare, and the waters of the falls became polluted and toxic. The once-pristine wilderness became a battleground, with adventurers and poachers fighting over resources and territory.
Today, Thundertail Falls is a shadow of its former self. The Thundertail are all but extinct, and the waters of the falls are a murky, polluted mess. But despite the damage done to the area, there are still those who believe in its mystical powers and its potential for adventure. For those brave enough to venture into its depths, Thundertail Falls remains</v>
      </c>
      <c r="C85" s="2" t="str">
        <f>IFERROR(__xludf.DUMMYFUNCTION("""COMPUTED_VALUE"""),"Dragonscale Island")</f>
        <v>Dragonscale Island</v>
      </c>
      <c r="D85" s="2"/>
      <c r="E85" s="16">
        <f>IFERROR(__xludf.DUMMYFUNCTION("""COMPUTED_VALUE"""),1.0E9)</f>
        <v>1000000000</v>
      </c>
      <c r="F85" s="2" t="str">
        <f>IFERROR(__xludf.DUMMYFUNCTION("""COMPUTED_VALUE"""),"Gilder")</f>
        <v>Gilder</v>
      </c>
      <c r="G85" s="2"/>
      <c r="H85" s="2"/>
      <c r="I85" s="2"/>
      <c r="J85" s="2"/>
      <c r="K85" s="2"/>
      <c r="L85" s="2"/>
      <c r="M85" s="2"/>
      <c r="N85" s="2"/>
      <c r="O85" s="2"/>
      <c r="P85" s="2"/>
      <c r="Q85" s="2"/>
      <c r="R85" s="2"/>
      <c r="S85" s="2"/>
      <c r="T85" s="2"/>
      <c r="U85" s="2"/>
      <c r="V85" s="2"/>
      <c r="W85" s="2"/>
      <c r="X85" s="2"/>
      <c r="Y85" s="2"/>
      <c r="Z85" s="2"/>
    </row>
    <row r="86">
      <c r="A86" s="2" t="str">
        <f>IFERROR(__xludf.DUMMYFUNCTION("""COMPUTED_VALUE"""),"Shimmering Shadow Lake")</f>
        <v>Shimmering Shadow Lake</v>
      </c>
      <c r="B86" s="2" t="str">
        <f>IFERROR(__xludf.DUMMYFUNCTION("""COMPUTED_VALUE"""),"Shimmering Shadow Lake is an ancient body of water, shrouded in mystery and legends that date back to the dawn of time. The lake is known for its deep and dark waters, which are said to hold many secrets and wonders that are unknown to most mortals.
At t"&amp;"he center of the lake lies a swirling vortex, where the waters are said to be deepest and darkest. Here, serpents sail and swim, their shimmering scales reflecting the light of the moon and the stars above. These creatures are elusive and rarely seen by m"&amp;"ortal eyes, but those who do catch a glimpse of them are said to be blessed with great fortune and wisdom.
However, there is one creature that rules over the lake with an iron fist - a fearsome and ferocious sea monster known as the Shadow Dragon. This a"&amp;"ncient creature is said to be the very embodiment of darkness and demonic power, with a hunger for destruction and chaos that knows no bounds.
The Shadow Dragon has been a presence in the lake for as long as anyone can remember, and its power and influen"&amp;"ce have only grown with time. Its shadowy scales and glowing eyes are the stuff of nightmares, and its breath can bring death and destruction to all who stand in its way.
Despite the danger posed by the Shadow Dragon, many adventurers and treasure hunter"&amp;"s have come to the lake in search of its many secrets and treasures. Some seek the magical artifacts said to be hidden in the lake's depths, while others hope to capture or slay the fearsome dragon itself.
But regardless of their motivations, all who com"&amp;"e to Shimmering Shadow Lake know that they are entering a realm of wonder and mystery, where the dangers are as great as the rewards. For those brave enough to venture into its depths, the lake remains an enigma, full of secrets and wonders waiting to be "&amp;"discovered.")</f>
        <v>Shimmering Shadow Lake is an ancient body of water, shrouded in mystery and legends that date back to the dawn of time. The lake is known for its deep and dark waters, which are said to hold many secrets and wonders that are unknown to most mortals.
At the center of the lake lies a swirling vortex, where the waters are said to be deepest and darkest. Here, serpents sail and swim, their shimmering scales reflecting the light of the moon and the stars above. These creatures are elusive and rarely seen by mortal eyes, but those who do catch a glimpse of them are said to be blessed with great fortune and wisdom.
However, there is one creature that rules over the lake with an iron fist - a fearsome and ferocious sea monster known as the Shadow Dragon. This ancient creature is said to be the very embodiment of darkness and demonic power, with a hunger for destruction and chaos that knows no bounds.
The Shadow Dragon has been a presence in the lake for as long as anyone can remember, and its power and influence have only grown with time. Its shadowy scales and glowing eyes are the stuff of nightmares, and its breath can bring death and destruction to all who stand in its way.
Despite the danger posed by the Shadow Dragon, many adventurers and treasure hunters have come to the lake in search of its many secrets and treasures. Some seek the magical artifacts said to be hidden in the lake's depths, while others hope to capture or slay the fearsome dragon itself.
But regardless of their motivations, all who come to Shimmering Shadow Lake know that they are entering a realm of wonder and mystery, where the dangers are as great as the rewards. For those brave enough to venture into its depths, the lake remains an enigma, full of secrets and wonders waiting to be discovered.</v>
      </c>
      <c r="C86" s="2" t="str">
        <f>IFERROR(__xludf.DUMMYFUNCTION("""COMPUTED_VALUE"""),"Dragonscale Island")</f>
        <v>Dragonscale Island</v>
      </c>
      <c r="D86" s="2"/>
      <c r="E86" s="16">
        <f>IFERROR(__xludf.DUMMYFUNCTION("""COMPUTED_VALUE"""),1.0E9)</f>
        <v>1000000000</v>
      </c>
      <c r="F86" s="2" t="str">
        <f>IFERROR(__xludf.DUMMYFUNCTION("""COMPUTED_VALUE"""),"Gilder")</f>
        <v>Gilder</v>
      </c>
      <c r="G86" s="2"/>
      <c r="H86" s="2"/>
      <c r="I86" s="2"/>
      <c r="J86" s="2"/>
      <c r="K86" s="2"/>
      <c r="L86" s="2"/>
      <c r="M86" s="2"/>
      <c r="N86" s="2"/>
      <c r="O86" s="2"/>
      <c r="P86" s="2"/>
      <c r="Q86" s="2"/>
      <c r="R86" s="2"/>
      <c r="S86" s="2"/>
      <c r="T86" s="2"/>
      <c r="U86" s="2"/>
      <c r="V86" s="2"/>
      <c r="W86" s="2"/>
      <c r="X86" s="2"/>
      <c r="Y86" s="2"/>
      <c r="Z86" s="2"/>
    </row>
    <row r="87">
      <c r="A87" s="2" t="str">
        <f>IFERROR(__xludf.DUMMYFUNCTION("""COMPUTED_VALUE"""),"Silverwood")</f>
        <v>Silverwood</v>
      </c>
      <c r="B87" s="2" t="str">
        <f>IFERROR(__xludf.DUMMYFUNCTION("""COMPUTED_VALUE"""),"Silverwood is an ancient and magical forest, steeped in mystery and legends that date back to the earliest days of creation. The trees here are said to be as old as time itself, with roots that stretch deep into the earth and branches that reach up to tou"&amp;"ch the heavens.
The forest is home to many strange and wondrous creatures, from mischievous fairies to talking toadstools and enchanted frogs. The rocks and boulders that dot the landscape are said to be imbued with magical power, capable of granting wis"&amp;"hes and bestowing blessings on those who seek them out.
The forest is also home to many clear and sparkling ponds, where lilies and other water plants bloom in abundance. These ponds are said to be the source of the forest's magic, with the waters holdin"&amp;"g the key to the ancient and powerful roots that lie beneath the surface.
Over the centuries, many adventurers and treasure hunters have come to Silverwood in search of its secrets and treasures. Some seek the magical artifacts said to be hidden among th"&amp;"e trees, while others hope to learn the ancient lore and wisdom of the forest's guardians.
Despite the many dangers that lurk within its misty depths, Silverwood remains a place of great wonder and beauty. Those who are brave enough to enter its realms a"&amp;"re sure to be rewarded with experiences and discoveries that will stay with them for a lifetime. For many, the forest is a source of inspiration and awe, a reminder of the beauty and power of nature and the magic that lies within us all.")</f>
        <v>Silverwood is an ancient and magical forest, steeped in mystery and legends that date back to the earliest days of creation. The trees here are said to be as old as time itself, with roots that stretch deep into the earth and branches that reach up to touch the heavens.
The forest is home to many strange and wondrous creatures, from mischievous fairies to talking toadstools and enchanted frogs. The rocks and boulders that dot the landscape are said to be imbued with magical power, capable of granting wishes and bestowing blessings on those who seek them out.
The forest is also home to many clear and sparkling ponds, where lilies and other water plants bloom in abundance. These ponds are said to be the source of the forest's magic, with the waters holding the key to the ancient and powerful roots that lie beneath the surface.
Over the centuries, many adventurers and treasure hunters have come to Silverwood in search of its secrets and treasures. Some seek the magical artifacts said to be hidden among the trees, while others hope to learn the ancient lore and wisdom of the forest's guardians.
Despite the many dangers that lurk within its misty depths, Silverwood remains a place of great wonder and beauty. Those who are brave enough to enter its realms are sure to be rewarded with experiences and discoveries that will stay with them for a lifetime. For many, the forest is a source of inspiration and awe, a reminder of the beauty and power of nature and the magic that lies within us all.</v>
      </c>
      <c r="C87" s="2" t="str">
        <f>IFERROR(__xludf.DUMMYFUNCTION("""COMPUTED_VALUE"""),"Dragonscale Island")</f>
        <v>Dragonscale Island</v>
      </c>
      <c r="D87" s="2"/>
      <c r="E87" s="16">
        <f>IFERROR(__xludf.DUMMYFUNCTION("""COMPUTED_VALUE"""),1.0E9)</f>
        <v>1000000000</v>
      </c>
      <c r="F87" s="2" t="str">
        <f>IFERROR(__xludf.DUMMYFUNCTION("""COMPUTED_VALUE"""),"Gilder")</f>
        <v>Gilder</v>
      </c>
      <c r="G87" s="2"/>
      <c r="H87" s="2"/>
      <c r="I87" s="2"/>
      <c r="J87" s="2"/>
      <c r="K87" s="2"/>
      <c r="L87" s="2"/>
      <c r="M87" s="2"/>
      <c r="N87" s="2"/>
      <c r="O87" s="2"/>
      <c r="P87" s="2"/>
      <c r="Q87" s="2"/>
      <c r="R87" s="2"/>
      <c r="S87" s="2"/>
      <c r="T87" s="2"/>
      <c r="U87" s="2"/>
      <c r="V87" s="2"/>
      <c r="W87" s="2"/>
      <c r="X87" s="2"/>
      <c r="Y87" s="2"/>
      <c r="Z87" s="2"/>
    </row>
    <row r="88">
      <c r="A88" s="2" t="str">
        <f>IFERROR(__xludf.DUMMYFUNCTION("""COMPUTED_VALUE"""),"DragonSpire")</f>
        <v>DragonSpire</v>
      </c>
      <c r="B88" s="2" t="str">
        <f>IFERROR(__xludf.DUMMYFUNCTION("""COMPUTED_VALUE"""),"Long ago, DragonSpire was built by the great wizard Arcturius, who sought to create a sanctuary for dragons and preserve their existence. Arcturius had always been fascinated by these mythical creatures, and he believed that they held a special power that"&amp;" could be harnessed for the good of all. So, he built DragonSpire at the heart of a lush and enchanted forest, which he imbued with magical properties to keep it hidden from those who might wish to do harm to the dragons.
Over the years, Arcturius amasse"&amp;"d a vast collection of dragon eggs from all over the world, and he nurtured them with great care and devotion. As the eggs hatched, the young dragons were raised in the safety and protection of DragonSpire, where they learned to fly, breathe fire, and hon"&amp;"e their unique abilities.
As time went on, Arcturius began to notice that the world outside of DragonSpire was becoming increasingly dangerous for dragons. Many people hunted them for their scales, which were believed to have magical properties, and thei"&amp;"r blood, which was thought to grant immortality. Arcturius knew that he had to do something to protect the dragons from harm, so he began to teach them how to defend themselves and fight back against their enemies.
Today, DragonSpire stands as a fortress"&amp;" of strength and magic, protected by the powerful wizard and his loyal dragons. Many adventurers seek out DragonSpire to learn from Arcturius and his dragons, to discover the secrets of their magic and the mysteries of the forest. But beware - the dangers"&amp;" of the outside world still lurk, and only the bravest and most skilled will be able to survive the challenges that await them in DragonSpire.")</f>
        <v>Long ago, DragonSpire was built by the great wizard Arcturius, who sought to create a sanctuary for dragons and preserve their existence. Arcturius had always been fascinated by these mythical creatures, and he believed that they held a special power that could be harnessed for the good of all. So, he built DragonSpire at the heart of a lush and enchanted forest, which he imbued with magical properties to keep it hidden from those who might wish to do harm to the dragons.
Over the years, Arcturius amassed a vast collection of dragon eggs from all over the world, and he nurtured them with great care and devotion. As the eggs hatched, the young dragons were raised in the safety and protection of DragonSpire, where they learned to fly, breathe fire, and hone their unique abilities.
As time went on, Arcturius began to notice that the world outside of DragonSpire was becoming increasingly dangerous for dragons. Many people hunted them for their scales, which were believed to have magical properties, and their blood, which was thought to grant immortality. Arcturius knew that he had to do something to protect the dragons from harm, so he began to teach them how to defend themselves and fight back against their enemies.
Today, DragonSpire stands as a fortress of strength and magic, protected by the powerful wizard and his loyal dragons. Many adventurers seek out DragonSpire to learn from Arcturius and his dragons, to discover the secrets of their magic and the mysteries of the forest. But beware - the dangers of the outside world still lurk, and only the bravest and most skilled will be able to survive the challenges that await them in DragonSpire.</v>
      </c>
      <c r="C88" s="2" t="str">
        <f>IFERROR(__xludf.DUMMYFUNCTION("""COMPUTED_VALUE"""),"Dragonscale Island")</f>
        <v>Dragonscale Island</v>
      </c>
      <c r="D88" s="2"/>
      <c r="E88" s="16">
        <f>IFERROR(__xludf.DUMMYFUNCTION("""COMPUTED_VALUE"""),1.0E9)</f>
        <v>1000000000</v>
      </c>
      <c r="F88" s="2" t="str">
        <f>IFERROR(__xludf.DUMMYFUNCTION("""COMPUTED_VALUE"""),"Gilder")</f>
        <v>Gilder</v>
      </c>
      <c r="G88" s="2"/>
      <c r="H88" s="2"/>
      <c r="I88" s="2"/>
      <c r="J88" s="2"/>
      <c r="K88" s="2"/>
      <c r="L88" s="2"/>
      <c r="M88" s="2"/>
      <c r="N88" s="2"/>
      <c r="O88" s="2"/>
      <c r="P88" s="2"/>
      <c r="Q88" s="2"/>
      <c r="R88" s="2"/>
      <c r="S88" s="2"/>
      <c r="T88" s="2"/>
      <c r="U88" s="2"/>
      <c r="V88" s="2"/>
      <c r="W88" s="2"/>
      <c r="X88" s="2"/>
      <c r="Y88" s="2"/>
      <c r="Z88" s="2"/>
    </row>
    <row r="89">
      <c r="A89" s="2" t="str">
        <f>IFERROR(__xludf.DUMMYFUNCTION("""COMPUTED_VALUE"""),"Watertail Fjord")</f>
        <v>Watertail Fjord</v>
      </c>
      <c r="B89" s="2" t="str">
        <f>IFERROR(__xludf.DUMMYFUNCTION("""COMPUTED_VALUE"""),"Long ago, the Watertail Fjord was a peaceful and thriving ecosystem, rich with an abundance of marine life and stunning natural beauty. The fjord was home to a diverse array of aquatic creatures, including the Watertails, who were revered for their abilit"&amp;"y to manipulate water with ease.
The Watertails had long lived in harmony with the other creatures of the fjord, using their powers to help maintain the delicate balance of the ecosystem. But one day, a group of humans arrived in the fjord, seeking to ex"&amp;"ploit its resources for their own gain. They began to fish the waters of the fjord relentlessly, catching vast numbers of silver-scaled salmon and leaving the ecosystem in disarray.
The Watertails, who had always been guardians of the fjord, knew that th"&amp;"ey had to act to protect their home. They banded together and used their powers to create a powerful magical barrier around the fjord, preventing the humans from entering and exploiting its resources any further.
Over time, the Watertails worked to resto"&amp;"re the balance of the fjord, healing the damage done by the humans and creating a sustainable ecosystem once again. The silver-scaled salmon began to thrive once more, and the fjord became a haven for all manner of aquatic life.
Today, the Watertail Fjor"&amp;"d remains protected by the magic of the Watertails, and it is said that there are hidden treasures to be found in the depths of the fjord. Adventurers from far and wide come to the fjord in search of these treasures, but they must be careful not to distur"&amp;"b the delicate balance of the ecosystem - for the Watertails will not hesitate to use their powers to protect their home from those who would do it harm.
")</f>
        <v>Long ago, the Watertail Fjord was a peaceful and thriving ecosystem, rich with an abundance of marine life and stunning natural beauty. The fjord was home to a diverse array of aquatic creatures, including the Watertails, who were revered for their ability to manipulate water with ease.
The Watertails had long lived in harmony with the other creatures of the fjord, using their powers to help maintain the delicate balance of the ecosystem. But one day, a group of humans arrived in the fjord, seeking to exploit its resources for their own gain. They began to fish the waters of the fjord relentlessly, catching vast numbers of silver-scaled salmon and leaving the ecosystem in disarray.
The Watertails, who had always been guardians of the fjord, knew that they had to act to protect their home. They banded together and used their powers to create a powerful magical barrier around the fjord, preventing the humans from entering and exploiting its resources any further.
Over time, the Watertails worked to restore the balance of the fjord, healing the damage done by the humans and creating a sustainable ecosystem once again. The silver-scaled salmon began to thrive once more, and the fjord became a haven for all manner of aquatic life.
Today, the Watertail Fjord remains protected by the magic of the Watertails, and it is said that there are hidden treasures to be found in the depths of the fjord. Adventurers from far and wide come to the fjord in search of these treasures, but they must be careful not to disturb the delicate balance of the ecosystem - for the Watertails will not hesitate to use their powers to protect their home from those who would do it harm.
</v>
      </c>
      <c r="C89" s="2" t="str">
        <f>IFERROR(__xludf.DUMMYFUNCTION("""COMPUTED_VALUE"""),"Dragonscale Island")</f>
        <v>Dragonscale Island</v>
      </c>
      <c r="D89" s="2"/>
      <c r="E89" s="16">
        <f>IFERROR(__xludf.DUMMYFUNCTION("""COMPUTED_VALUE"""),1.0E9)</f>
        <v>1000000000</v>
      </c>
      <c r="F89" s="2" t="str">
        <f>IFERROR(__xludf.DUMMYFUNCTION("""COMPUTED_VALUE"""),"Gilder")</f>
        <v>Gilder</v>
      </c>
      <c r="G89" s="2"/>
      <c r="H89" s="2"/>
      <c r="I89" s="2"/>
      <c r="J89" s="2"/>
      <c r="K89" s="2"/>
      <c r="L89" s="2"/>
      <c r="M89" s="2"/>
      <c r="N89" s="2"/>
      <c r="O89" s="2"/>
      <c r="P89" s="2"/>
      <c r="Q89" s="2"/>
      <c r="R89" s="2"/>
      <c r="S89" s="2"/>
      <c r="T89" s="2"/>
      <c r="U89" s="2"/>
      <c r="V89" s="2"/>
      <c r="W89" s="2"/>
      <c r="X89" s="2"/>
      <c r="Y89" s="2"/>
      <c r="Z89" s="2"/>
    </row>
    <row r="90">
      <c r="A90" s="2" t="str">
        <f>IFERROR(__xludf.DUMMYFUNCTION("""COMPUTED_VALUE"""),"Firetail Mountain")</f>
        <v>Firetail Mountain</v>
      </c>
      <c r="B90" s="2" t="str">
        <f>IFERROR(__xludf.DUMMYFUNCTION("""COMPUTED_VALUE"""),"Long ago, Firetail Mountain was a dormant volcano, its peak looming high above the surrounding landscape. The mountain was a place of great spiritual significance for the local people, who believed that it was home to powerful and benevolent spirits that "&amp;"could bring both prosperity and destruction.
As time passed, the mountain began to show signs of renewed activity. The ground trembled beneath the feet of those who lived nearby, and the sky above the mountain was often filled with billowing clouds of as"&amp;"h and smoke.
One day, a group of travelers arrived at the base of the mountain, seeking to learn more about the spirits that were said to dwell within it. They were a brave and curious group, undeterred by the dangers that lay ahead.
As they made their "&amp;"way up the slopes of the mountain, they encountered the Firetails - fiery lizards made of pure magma, who burned with the brightest and purest flames. The Firetails were guardians of the mountain, charged with protecting the spirits that dwelled within it"&amp;".
The travelers soon discovered that the spirits were indeed powerful, and they had the ability to control the fiery forces that raged within the mountain. The spirits revealed that they had grown angry with the people of the surrounding lands, who had b"&amp;"een taking the mountain's resources for their own gain without regard for its spiritual significance.
The travelers realized that they had to act quickly to prevent a catastrophic eruption of the mountain, which would surely destroy everything in its pat"&amp;"h. They made a deal with the spirits, promising to spread the word of the mountain's spiritual significance and to protect it from those who would exploit its resources. In return, the spirits agreed to calm the fiery forces within the mountain and allow "&amp;"the travelers to explore its depths.
Today, Firetail Mountain is a place of great wonder and danger, with its fiery rocks, lava, and boulders. The Burning Boulder Bridge is the only way to access it on foot, and adventurers must tread carefully to avoid "&amp;"the Firetails and other dangers that lurk within its depths. But for those who are brave enough to explore Firetail Mountain, the rewards are great - for within its fiery heart lies untold treasures and the secrets of the spirits that dwell within it.")</f>
        <v>Long ago, Firetail Mountain was a dormant volcano, its peak looming high above the surrounding landscape. The mountain was a place of great spiritual significance for the local people, who believed that it was home to powerful and benevolent spirits that could bring both prosperity and destruction.
As time passed, the mountain began to show signs of renewed activity. The ground trembled beneath the feet of those who lived nearby, and the sky above the mountain was often filled with billowing clouds of ash and smoke.
One day, a group of travelers arrived at the base of the mountain, seeking to learn more about the spirits that were said to dwell within it. They were a brave and curious group, undeterred by the dangers that lay ahead.
As they made their way up the slopes of the mountain, they encountered the Firetails - fiery lizards made of pure magma, who burned with the brightest and purest flames. The Firetails were guardians of the mountain, charged with protecting the spirits that dwelled within it.
The travelers soon discovered that the spirits were indeed powerful, and they had the ability to control the fiery forces that raged within the mountain. The spirits revealed that they had grown angry with the people of the surrounding lands, who had been taking the mountain's resources for their own gain without regard for its spiritual significance.
The travelers realized that they had to act quickly to prevent a catastrophic eruption of the mountain, which would surely destroy everything in its path. They made a deal with the spirits, promising to spread the word of the mountain's spiritual significance and to protect it from those who would exploit its resources. In return, the spirits agreed to calm the fiery forces within the mountain and allow the travelers to explore its depths.
Today, Firetail Mountain is a place of great wonder and danger, with its fiery rocks, lava, and boulders. The Burning Boulder Bridge is the only way to access it on foot, and adventurers must tread carefully to avoid the Firetails and other dangers that lurk within its depths. But for those who are brave enough to explore Firetail Mountain, the rewards are great - for within its fiery heart lies untold treasures and the secrets of the spirits that dwell within it.</v>
      </c>
      <c r="C90" s="2" t="str">
        <f>IFERROR(__xludf.DUMMYFUNCTION("""COMPUTED_VALUE"""),"Dragonscale Island")</f>
        <v>Dragonscale Island</v>
      </c>
      <c r="D90" s="2"/>
      <c r="E90" s="16">
        <f>IFERROR(__xludf.DUMMYFUNCTION("""COMPUTED_VALUE"""),1.0E9)</f>
        <v>1000000000</v>
      </c>
      <c r="F90" s="2" t="str">
        <f>IFERROR(__xludf.DUMMYFUNCTION("""COMPUTED_VALUE"""),"Gilder")</f>
        <v>Gilder</v>
      </c>
      <c r="G90" s="2"/>
      <c r="H90" s="2"/>
      <c r="I90" s="2"/>
      <c r="J90" s="2"/>
      <c r="K90" s="2"/>
      <c r="L90" s="2"/>
      <c r="M90" s="2"/>
      <c r="N90" s="2"/>
      <c r="O90" s="2"/>
      <c r="P90" s="2"/>
      <c r="Q90" s="2"/>
      <c r="R90" s="2"/>
      <c r="S90" s="2"/>
      <c r="T90" s="2"/>
      <c r="U90" s="2"/>
      <c r="V90" s="2"/>
      <c r="W90" s="2"/>
      <c r="X90" s="2"/>
      <c r="Y90" s="2"/>
      <c r="Z90" s="2"/>
    </row>
    <row r="91">
      <c r="A91" s="2" t="str">
        <f>IFERROR(__xludf.DUMMYFUNCTION("""COMPUTED_VALUE"""),"The Grand City of Dragonia")</f>
        <v>The Grand City of Dragonia</v>
      </c>
      <c r="B91" s="2" t="str">
        <f>IFERROR(__xludf.DUMMYFUNCTION("""COMPUTED_VALUE"""),"The Grand City of Dragonia has a rich and storied history, stretching back thousands of years. It was founded by a group of dragon riders who had become disillusioned with the traditional ways of their people and sought to forge a new path for themselves."&amp;"
The dragon riders were a diverse group, hailing from many different lands and cultures. They brought with them a wealth of knowledge and expertise, and they worked together to build a new society that was based on cooperation, mutual respect, and a deep"&amp;" reverence for the power of the dragons.
Over time, the city of Dragonia grew and prospered, becoming a hub of trade and commerce that attracted merchants, craftsmen, and adventurers from all over the world. The central combat arena was built as a place "&amp;"for dragon riders to hone their skills and compete against one another, while the Dragonscale Dojo in the eastern district became a center of learning for those who sought to master the art of dragon riding.
In the western district, the Dragonscale Saloo"&amp;"n became a popular gathering place for adventurers and dragon riders alike, where they could swap stories, share tips and tricks, and enjoy a drink or two.
But Dragonia was not without its challenges. The city was often beset by outside forces who sought"&amp;" to exploit its wealth and resources. The dragon riders, who had become the protectors of the city, banded together to defend it from these threats, using their skills and expertise to repel invaders and protect their way of life.
Today, the Grand City o"&amp;"f Dragonia remains a thriving metropolis, a beacon of diversity and political influence that draws people from all over the world. Its dragon riders continue to hone their skills in the central combat arena and the Dragonscale Dojo, while the Dragonscale "&amp;"Saloon remains a beloved institution for adventurers and dragon riders alike. And though the challenges of the world continue to press in on Dragonia, the people of the city remain united in their commitment to protect their home and preserve the legacy o"&amp;"f the dragon riders who founded it.")</f>
        <v>The Grand City of Dragonia has a rich and storied history, stretching back thousands of years. It was founded by a group of dragon riders who had become disillusioned with the traditional ways of their people and sought to forge a new path for themselves.
The dragon riders were a diverse group, hailing from many different lands and cultures. They brought with them a wealth of knowledge and expertise, and they worked together to build a new society that was based on cooperation, mutual respect, and a deep reverence for the power of the dragons.
Over time, the city of Dragonia grew and prospered, becoming a hub of trade and commerce that attracted merchants, craftsmen, and adventurers from all over the world. The central combat arena was built as a place for dragon riders to hone their skills and compete against one another, while the Dragonscale Dojo in the eastern district became a center of learning for those who sought to master the art of dragon riding.
In the western district, the Dragonscale Saloon became a popular gathering place for adventurers and dragon riders alike, where they could swap stories, share tips and tricks, and enjoy a drink or two.
But Dragonia was not without its challenges. The city was often beset by outside forces who sought to exploit its wealth and resources. The dragon riders, who had become the protectors of the city, banded together to defend it from these threats, using their skills and expertise to repel invaders and protect their way of life.
Today, the Grand City of Dragonia remains a thriving metropolis, a beacon of diversity and political influence that draws people from all over the world. Its dragon riders continue to hone their skills in the central combat arena and the Dragonscale Dojo, while the Dragonscale Saloon remains a beloved institution for adventurers and dragon riders alike. And though the challenges of the world continue to press in on Dragonia, the people of the city remain united in their commitment to protect their home and preserve the legacy of the dragon riders who founded it.</v>
      </c>
      <c r="C91" s="2" t="str">
        <f>IFERROR(__xludf.DUMMYFUNCTION("""COMPUTED_VALUE"""),"Dragonscale Island")</f>
        <v>Dragonscale Island</v>
      </c>
      <c r="D91" s="2"/>
      <c r="E91" s="16">
        <f>IFERROR(__xludf.DUMMYFUNCTION("""COMPUTED_VALUE"""),1.0E9)</f>
        <v>1000000000</v>
      </c>
      <c r="F91" s="2" t="str">
        <f>IFERROR(__xludf.DUMMYFUNCTION("""COMPUTED_VALUE"""),"Gilder")</f>
        <v>Gilder</v>
      </c>
      <c r="G91" s="2"/>
      <c r="H91" s="2"/>
      <c r="I91" s="2"/>
      <c r="J91" s="2"/>
      <c r="K91" s="2"/>
      <c r="L91" s="2"/>
      <c r="M91" s="2"/>
      <c r="N91" s="2"/>
      <c r="O91" s="2"/>
      <c r="P91" s="2"/>
      <c r="Q91" s="2"/>
      <c r="R91" s="2"/>
      <c r="S91" s="2"/>
      <c r="T91" s="2"/>
      <c r="U91" s="2"/>
      <c r="V91" s="2"/>
      <c r="W91" s="2"/>
      <c r="X91" s="2"/>
      <c r="Y91" s="2"/>
      <c r="Z91" s="2"/>
    </row>
    <row r="92">
      <c r="A92" s="2" t="str">
        <f>IFERROR(__xludf.DUMMYFUNCTION("""COMPUTED_VALUE"""),"Fogweb Ninja Village in the Mist")</f>
        <v>Fogweb Ninja Village in the Mist</v>
      </c>
      <c r="B92" s="2" t="str">
        <f>IFERROR(__xludf.DUMMYFUNCTION("""COMPUTED_VALUE"""),"Nestled deep within the lush expanse of the Rainforest lies the Fogweb Ninja Village, the secretive and hidden home of the enigmatic Frogonians, this village is a testament to their mastery of the art of concealment and their affinity for the mystical pow"&amp;"ers of mist and fog.
Fogweb itself however is rather dreary whilst the fog can create a feeling of mystique in some, for others it feels as if several pairs of eyes are following their every move, weighing them down into the muddy groud of Fogweb. 
The "&amp;"way to Fogweb is known only by a few hidden masters who live across the land activing as the hidden intelligence corps of Fogweb and also the key through the mist for those who seek an audience with the elders of Fogweb.
The village of Fogweb itself is r"&amp;"ather simple, made of simple materials that it's inhabitants find in the surrounding area and with plentiful fields of farming it seems almost like a normal village save for the training grounds and recruits littering the land of Fogweb. The people of Fog"&amp;"web themselves however are rather curious, unlike most other Frogonians they seem rather like they're only half a part of this world seeming to flicker in and out with the mist.
The village of Fogweb is like a local legend to those of WyvernTail who swea"&amp;"r to see the Frogonians slinking through the shadows followed by their ethereal mist as if they themselves were the mist. However the credibilty of these claims is doubted by many.")</f>
        <v>Nestled deep within the lush expanse of the Rainforest lies the Fogweb Ninja Village, the secretive and hidden home of the enigmatic Frogonians, this village is a testament to their mastery of the art of concealment and their affinity for the mystical powers of mist and fog.
Fogweb itself however is rather dreary whilst the fog can create a feeling of mystique in some, for others it feels as if several pairs of eyes are following their every move, weighing them down into the muddy groud of Fogweb. 
The way to Fogweb is known only by a few hidden masters who live across the land activing as the hidden intelligence corps of Fogweb and also the key through the mist for those who seek an audience with the elders of Fogweb.
The village of Fogweb itself is rather simple, made of simple materials that it's inhabitants find in the surrounding area and with plentiful fields of farming it seems almost like a normal village save for the training grounds and recruits littering the land of Fogweb. The people of Fogweb themselves however are rather curious, unlike most other Frogonians they seem rather like they're only half a part of this world seeming to flicker in and out with the mist.
The village of Fogweb is like a local legend to those of WyvernTail who swear to see the Frogonians slinking through the shadows followed by their ethereal mist as if they themselves were the mist. However the credibilty of these claims is doubted by many.</v>
      </c>
      <c r="C92" s="2" t="str">
        <f>IFERROR(__xludf.DUMMYFUNCTION("""COMPUTED_VALUE"""),"Dragonscale Island")</f>
        <v>Dragonscale Island</v>
      </c>
      <c r="D92" s="2"/>
      <c r="E92" s="16">
        <f>IFERROR(__xludf.DUMMYFUNCTION("""COMPUTED_VALUE"""),1.0E9)</f>
        <v>1000000000</v>
      </c>
      <c r="F92" s="2" t="str">
        <f>IFERROR(__xludf.DUMMYFUNCTION("""COMPUTED_VALUE"""),"Gilder")</f>
        <v>Gilder</v>
      </c>
      <c r="G92" s="2"/>
      <c r="H92" s="2"/>
      <c r="I92" s="2"/>
      <c r="J92" s="2"/>
      <c r="K92" s="2"/>
      <c r="L92" s="2"/>
      <c r="M92" s="2"/>
      <c r="N92" s="2"/>
      <c r="O92" s="2"/>
      <c r="P92" s="2"/>
      <c r="Q92" s="2"/>
      <c r="R92" s="2"/>
      <c r="S92" s="2"/>
      <c r="T92" s="2"/>
      <c r="U92" s="2"/>
      <c r="V92" s="2"/>
      <c r="W92" s="2"/>
      <c r="X92" s="2"/>
      <c r="Y92" s="2"/>
      <c r="Z92" s="2"/>
    </row>
    <row r="93">
      <c r="A93" s="2" t="str">
        <f>IFERROR(__xludf.DUMMYFUNCTION("""COMPUTED_VALUE"""),"Mistpeak Ninja Village in the Mountains")</f>
        <v>Mistpeak Ninja Village in the Mountains</v>
      </c>
      <c r="B93" s="2" t="str">
        <f>IFERROR(__xludf.DUMMYFUNCTION("""COMPUTED_VALUE"""),"Perched high amidst the majestic peaks, the Mistpeak Ninja Village stands as a testament to the indomitable spirit and unrivaled skills of the Frogonian people, this village is a hidden stronghold concealed within the lofty heights of the mountain range.
"&amp;"
The Mistpeak Ninja Village is a sight to behold, its structures and pathways carved into the rugged terrain of the mountains. Suspended bridges and intricate walkways connect the various dwellings, blending harmoniously with the natural beauty of the sur"&amp;"roundings. The village architecture incorporates the elements of stone and wood, showcasing both strength and adaptability, mirroring the Frogonians themselves.
As one ventures deeper into the village, the mist envelopes the pathways, creating an etherea"&amp;"l atmosphere. The misty veils dance around the mountain peaks, obscuring the village's true extent and serving as a guardian against prying eyes. The Frogonians have harnessed the power of this natural phenomenon, utilizing it as a shield and a tool for t"&amp;"heir ninja arts.
Within the Mistpeak Ninja Village, the Frogonians hone their skills to perfection. The ninja apprentices, guided by seasoned mentors, train in the art of combat, stealth, and elemental manipulation. They navigate the treacherous mountain"&amp;" terrain with agility and grace, leaping from cliff to cliff and scaling sheer surfaces with ease. Their exceptional abilities are further augmented by their affinity for mist and fog, using them to shroud their movements and confuse their opponents.
The"&amp;" village is a hive of activity, bustling with the energy of its inhabitants. The Frogonians go about their daily lives with a sense of purpose and camaraderie. The central plaza serves as a gathering place, where stories are shared, techniques are perfect"&amp;"ed, and the bonds of friendship are forged. The village elders, revered for their wisdom and experience, ensure the preservation of their ancient traditions and pass down the knowledge of the Frogonian heritage.
As the sun sets, the village transforms in"&amp;"to a mystical realm. The Frogonians, clad in their specialized ninja attire, blend seamlessly with the mist that swirls around them. They become one with the mountains, their movements fluid and silent. With their mastery of mist-based techniques and thei"&amp;"r profound connection to the elements, the Frogonians of the Mistpeak Ninja Village embody strength, resilience, and a deep reverence for the mountains that guard their hidden sanctuary.
Through the mist-laden peaks, the Frogonians stand as the protector"&amp;"s of their village and the guardians of their people. Their unwavering determination, honed skills, and deep connection to the mountains make them an awe-inspiring force to be reckoned with. The Mistpeak Ninja Village stands as a testament to their legacy"&amp;", a testament to the Frogonians' enduring spirit and their unwavering commitment to the path of the Ninja.")</f>
        <v>Perched high amidst the majestic peaks, the Mistpeak Ninja Village stands as a testament to the indomitable spirit and unrivaled skills of the Frogonian people, this village is a hidden stronghold concealed within the lofty heights of the mountain range.
The Mistpeak Ninja Village is a sight to behold, its structures and pathways carved into the rugged terrain of the mountains. Suspended bridges and intricate walkways connect the various dwellings, blending harmoniously with the natural beauty of the surroundings. The village architecture incorporates the elements of stone and wood, showcasing both strength and adaptability, mirroring the Frogonians themselves.
As one ventures deeper into the village, the mist envelopes the pathways, creating an ethereal atmosphere. The misty veils dance around the mountain peaks, obscuring the village's true extent and serving as a guardian against prying eyes. The Frogonians have harnessed the power of this natural phenomenon, utilizing it as a shield and a tool for their ninja arts.
Within the Mistpeak Ninja Village, the Frogonians hone their skills to perfection. The ninja apprentices, guided by seasoned mentors, train in the art of combat, stealth, and elemental manipulation. They navigate the treacherous mountain terrain with agility and grace, leaping from cliff to cliff and scaling sheer surfaces with ease. Their exceptional abilities are further augmented by their affinity for mist and fog, using them to shroud their movements and confuse their opponents.
The village is a hive of activity, bustling with the energy of its inhabitants. The Frogonians go about their daily lives with a sense of purpose and camaraderie. The central plaza serves as a gathering place, where stories are shared, techniques are perfected, and the bonds of friendship are forged. The village elders, revered for their wisdom and experience, ensure the preservation of their ancient traditions and pass down the knowledge of the Frogonian heritage.
As the sun sets, the village transforms into a mystical realm. The Frogonians, clad in their specialized ninja attire, blend seamlessly with the mist that swirls around them. They become one with the mountains, their movements fluid and silent. With their mastery of mist-based techniques and their profound connection to the elements, the Frogonians of the Mistpeak Ninja Village embody strength, resilience, and a deep reverence for the mountains that guard their hidden sanctuary.
Through the mist-laden peaks, the Frogonians stand as the protectors of their village and the guardians of their people. Their unwavering determination, honed skills, and deep connection to the mountains make them an awe-inspiring force to be reckoned with. The Mistpeak Ninja Village stands as a testament to their legacy, a testament to the Frogonians' enduring spirit and their unwavering commitment to the path of the Ninja.</v>
      </c>
      <c r="C93" s="2" t="str">
        <f>IFERROR(__xludf.DUMMYFUNCTION("""COMPUTED_VALUE"""),"Dragonscale Island")</f>
        <v>Dragonscale Island</v>
      </c>
      <c r="D93" s="2"/>
      <c r="E93" s="16">
        <f>IFERROR(__xludf.DUMMYFUNCTION("""COMPUTED_VALUE"""),1.0E9)</f>
        <v>1000000000</v>
      </c>
      <c r="F93" s="2" t="str">
        <f>IFERROR(__xludf.DUMMYFUNCTION("""COMPUTED_VALUE"""),"Gilder")</f>
        <v>Gilder</v>
      </c>
      <c r="G93" s="2"/>
      <c r="H93" s="2"/>
      <c r="I93" s="2"/>
      <c r="J93" s="2"/>
      <c r="K93" s="2"/>
      <c r="L93" s="2"/>
      <c r="M93" s="2"/>
      <c r="N93" s="2"/>
      <c r="O93" s="2"/>
      <c r="P93" s="2"/>
      <c r="Q93" s="2"/>
      <c r="R93" s="2"/>
      <c r="S93" s="2"/>
      <c r="T93" s="2"/>
      <c r="U93" s="2"/>
      <c r="V93" s="2"/>
      <c r="W93" s="2"/>
      <c r="X93" s="2"/>
      <c r="Y93" s="2"/>
      <c r="Z93" s="2"/>
    </row>
    <row r="94">
      <c r="A94" s="2" t="str">
        <f>IFERROR(__xludf.DUMMYFUNCTION("""COMPUTED_VALUE"""),"Ribbonton Ninja Village in the Trees")</f>
        <v>Ribbonton Ninja Village in the Trees</v>
      </c>
      <c r="B94" s="2" t="str">
        <f>IFERROR(__xludf.DUMMYFUNCTION("""COMPUTED_VALUE"""),"Nestled in the heart of a vibrant and sprawling forest, Ribbonton Village emerges as a haven for the Frogonian people, a race of frog-like beings with a deep affinity for nature. Ribbonton Village is a picturesque sanctuary, with wooden houses and structu"&amp;"res blending harmoniously with the surrounding foliage. Various dwellings and providing a stunning view of the forest canopy. 
As one ventures deeper into the village, the sounds of rustling leaves and the scent of fresh earth permeate the air. Sunlight "&amp;"filters through the dense canopy, casting a gentle glow over the pathways and communal spaces. The village is alive with the sounds of Frogonians going about their daily lives, their activities guided by the principles of teamwork, growth, and the pursuit"&amp;" of peace.
Within Ribbonton Village, the Frogonians hone their ninja skills with discipline and dedication. The village serves as a training ground for the young ninja apprentices, guided by experienced mentors who impart their wisdom and expertise. The "&amp;"Frogonians train in the arts of stealth, combat, and elemental manipulation, harnessing their unique amphibious abilities to navigate the forest terrain with grace and agility.
The village is a hub of communal activity and camaraderie. The central plaza "&amp;"serves as a gathering place, where villagers come together to share stories, exchange knowledge, and participate in friendly sparring matches. The village elders, revered for their wisdom and experience, provide guidance and ensure the preservation of Rib"&amp;"bonton's ancient traditions and values.
With a deep reverence for nature and an unwavering commitment to peace, the Frogonians of Ribbonton Village exemplify the ideals of the Ninja. They protect their village and the forest they call home with unyieldin"&amp;"g resolve, channeling their skills and elemental techniques to ensure the balance and harmony of their surroundings.
Ribbonton Village stands as a testament to the Frogonians' unity, resilience, and the bonds they share with the natural world. It is a pl"&amp;"ace where the art of the Ninja intertwines with the wisdom of the forest, where the Frogonians thrive as guardians of peace, and where the legacy of their ancestors lives on in their hearts and actions.")</f>
        <v>Nestled in the heart of a vibrant and sprawling forest, Ribbonton Village emerges as a haven for the Frogonian people, a race of frog-like beings with a deep affinity for nature. Ribbonton Village is a picturesque sanctuary, with wooden houses and structures blending harmoniously with the surrounding foliage. Various dwellings and providing a stunning view of the forest canopy. 
As one ventures deeper into the village, the sounds of rustling leaves and the scent of fresh earth permeate the air. Sunlight filters through the dense canopy, casting a gentle glow over the pathways and communal spaces. The village is alive with the sounds of Frogonians going about their daily lives, their activities guided by the principles of teamwork, growth, and the pursuit of peace.
Within Ribbonton Village, the Frogonians hone their ninja skills with discipline and dedication. The village serves as a training ground for the young ninja apprentices, guided by experienced mentors who impart their wisdom and expertise. The Frogonians train in the arts of stealth, combat, and elemental manipulation, harnessing their unique amphibious abilities to navigate the forest terrain with grace and agility.
The village is a hub of communal activity and camaraderie. The central plaza serves as a gathering place, where villagers come together to share stories, exchange knowledge, and participate in friendly sparring matches. The village elders, revered for their wisdom and experience, provide guidance and ensure the preservation of Ribbonton's ancient traditions and values.
With a deep reverence for nature and an unwavering commitment to peace, the Frogonians of Ribbonton Village exemplify the ideals of the Ninja. They protect their village and the forest they call home with unyielding resolve, channeling their skills and elemental techniques to ensure the balance and harmony of their surroundings.
Ribbonton Village stands as a testament to the Frogonians' unity, resilience, and the bonds they share with the natural world. It is a place where the art of the Ninja intertwines with the wisdom of the forest, where the Frogonians thrive as guardians of peace, and where the legacy of their ancestors lives on in their hearts and actions.</v>
      </c>
      <c r="C94" s="2" t="str">
        <f>IFERROR(__xludf.DUMMYFUNCTION("""COMPUTED_VALUE"""),"Dragonscale Island")</f>
        <v>Dragonscale Island</v>
      </c>
      <c r="D94" s="2"/>
      <c r="E94" s="16">
        <f>IFERROR(__xludf.DUMMYFUNCTION("""COMPUTED_VALUE"""),1.0E9)</f>
        <v>1000000000</v>
      </c>
      <c r="F94" s="2" t="str">
        <f>IFERROR(__xludf.DUMMYFUNCTION("""COMPUTED_VALUE"""),"Gilder")</f>
        <v>Gilder</v>
      </c>
      <c r="G94" s="2"/>
      <c r="H94" s="2"/>
      <c r="I94" s="2"/>
      <c r="J94" s="2"/>
      <c r="K94" s="2"/>
      <c r="L94" s="2"/>
      <c r="M94" s="2"/>
      <c r="N94" s="2"/>
      <c r="O94" s="2"/>
      <c r="P94" s="2"/>
      <c r="Q94" s="2"/>
      <c r="R94" s="2"/>
      <c r="S94" s="2"/>
      <c r="T94" s="2"/>
      <c r="U94" s="2"/>
      <c r="V94" s="2"/>
      <c r="W94" s="2"/>
      <c r="X94" s="2"/>
      <c r="Y94" s="2"/>
      <c r="Z94" s="2"/>
    </row>
    <row r="95">
      <c r="A95" s="2" t="str">
        <f>IFERROR(__xludf.DUMMYFUNCTION("""COMPUTED_VALUE"""),"Sandhopper Oasis Ninja Village in the Desert")</f>
        <v>Sandhopper Oasis Ninja Village in the Desert</v>
      </c>
      <c r="B95" s="2" t="str">
        <f>IFERROR(__xludf.DUMMYFUNCTION("""COMPUTED_VALUE"""),"In the vast expanse of the scorching desert, Sandhopper Oasis Ninja Village rises as an oasis of life and resilience, the hidden home of the extraordinary Frogonian people, Sandhopper Oasis captures the spirit of survival, adaptability, and the art of the"&amp;" ninja in the harshest of environments.
Sandhopper Oasis Ninja Village is a captivating sight amidst the sea of endless dunes. The village blends seamlessly with the desert landscape, with adobe structures rising from the sun-baked sand. Covered walkways"&amp;" and intricate tunnels connect the dwellings, providing shade and respite from the unforgiving heat. The architecture of the village showcases a mastery of desert craftsmanship, utilizing natural materials and earthy tones that merge with the vastness of "&amp;"the desert.
As one ventures deeper into the village, the heat gives way to a cooling breeze and the gentle rustling of palm trees. The village is interspersed with lush gardens and water features, a stark contrast to the surrounding arid environment. The"&amp;" Frogonians have ingeniously harnessed the power of water and the oasis, nurturing life amidst the harsh desert conditions.
Within Sandhopper Oasis Ninja Village, the Frogonians train relentlessly, honing their skills as ninja warriors. The village serve"&amp;"s as a crucible for the young ninja apprentices, under the guidance of seasoned mentors. They train in the arts of stealth, combat, and survival, learning to move swiftly through the shifting sands and adapt their techniques to the inhospitable desert env"&amp;"ironment.
The village buzzes with activity, mirroring the resilience of its inhabitants. The central plaza acts as a hub of interaction, where Frogonians gather to exchange knowledge, engage in friendly sparring matches, and share tales of their desert e"&amp;"xpeditions. The village elders, revered for their wisdom and experience, pass down the ancient wisdom of the Frogonian lineage, ensuring the preservation of their culture and traditions.
As twilight descends upon the desert, Sandhopper Oasis transforms i"&amp;"nto a mysterious realm. The Frogonians, donned in their specialized ninja attire, blend seamlessly with the shifting sands and shadows. They harness the power of the desert, utilizing sand manipulation and stealth techniques to navigate the dunes with gra"&amp;"ce and precision.
With their unwavering determination and adaptability, the Frogonians of Sandhopper Oasis Village stand as the guardians of their desert domain. They protect their village with an indomitable spirit, using their skills and elemental tech"&amp;"niques to defend their home from any threat that may arise.
Sandhopper Oasis Village symbolizes the Frogonians' tenacity, their ability to thrive in adversity, and their deep connection with the desert. It is a testament to their resilience, resourcefuln"&amp;"ess, and the unity that allows them to conquer the harshest of environments. In Sandhopper Oasis, the Frogonians shine as beacons of strength and unwavering loyalty to their village and their desert heritage.")</f>
        <v>In the vast expanse of the scorching desert, Sandhopper Oasis Ninja Village rises as an oasis of life and resilience, the hidden home of the extraordinary Frogonian people, Sandhopper Oasis captures the spirit of survival, adaptability, and the art of the ninja in the harshest of environments.
Sandhopper Oasis Ninja Village is a captivating sight amidst the sea of endless dunes. The village blends seamlessly with the desert landscape, with adobe structures rising from the sun-baked sand. Covered walkways and intricate tunnels connect the dwellings, providing shade and respite from the unforgiving heat. The architecture of the village showcases a mastery of desert craftsmanship, utilizing natural materials and earthy tones that merge with the vastness of the desert.
As one ventures deeper into the village, the heat gives way to a cooling breeze and the gentle rustling of palm trees. The village is interspersed with lush gardens and water features, a stark contrast to the surrounding arid environment. The Frogonians have ingeniously harnessed the power of water and the oasis, nurturing life amidst the harsh desert conditions.
Within Sandhopper Oasis Ninja Village, the Frogonians train relentlessly, honing their skills as ninja warriors. The village serves as a crucible for the young ninja apprentices, under the guidance of seasoned mentors. They train in the arts of stealth, combat, and survival, learning to move swiftly through the shifting sands and adapt their techniques to the inhospitable desert environment.
The village buzzes with activity, mirroring the resilience of its inhabitants. The central plaza acts as a hub of interaction, where Frogonians gather to exchange knowledge, engage in friendly sparring matches, and share tales of their desert expeditions. The village elders, revered for their wisdom and experience, pass down the ancient wisdom of the Frogonian lineage, ensuring the preservation of their culture and traditions.
As twilight descends upon the desert, Sandhopper Oasis transforms into a mysterious realm. The Frogonians, donned in their specialized ninja attire, blend seamlessly with the shifting sands and shadows. They harness the power of the desert, utilizing sand manipulation and stealth techniques to navigate the dunes with grace and precision.
With their unwavering determination and adaptability, the Frogonians of Sandhopper Oasis Village stand as the guardians of their desert domain. They protect their village with an indomitable spirit, using their skills and elemental techniques to defend their home from any threat that may arise.
Sandhopper Oasis Village symbolizes the Frogonians' tenacity, their ability to thrive in adversity, and their deep connection with the desert. It is a testament to their resilience, resourcefulness, and the unity that allows them to conquer the harshest of environments. In Sandhopper Oasis, the Frogonians shine as beacons of strength and unwavering loyalty to their village and their desert heritage.</v>
      </c>
      <c r="C95" s="2" t="str">
        <f>IFERROR(__xludf.DUMMYFUNCTION("""COMPUTED_VALUE"""),"Dragonscale Island")</f>
        <v>Dragonscale Island</v>
      </c>
      <c r="D95" s="2"/>
      <c r="E95" s="16">
        <f>IFERROR(__xludf.DUMMYFUNCTION("""COMPUTED_VALUE"""),1.0E9)</f>
        <v>1000000000</v>
      </c>
      <c r="F95" s="2" t="str">
        <f>IFERROR(__xludf.DUMMYFUNCTION("""COMPUTED_VALUE"""),"Gilder")</f>
        <v>Gilder</v>
      </c>
      <c r="G95" s="2"/>
      <c r="H95" s="2"/>
      <c r="I95" s="2"/>
      <c r="J95" s="2"/>
      <c r="K95" s="2"/>
      <c r="L95" s="2"/>
      <c r="M95" s="2"/>
      <c r="N95" s="2"/>
      <c r="O95" s="2"/>
      <c r="P95" s="2"/>
      <c r="Q95" s="2"/>
      <c r="R95" s="2"/>
      <c r="S95" s="2"/>
      <c r="T95" s="2"/>
      <c r="U95" s="2"/>
      <c r="V95" s="2"/>
      <c r="W95" s="2"/>
      <c r="X95" s="2"/>
      <c r="Y95" s="2"/>
      <c r="Z95" s="2"/>
    </row>
    <row r="96">
      <c r="A96" s="2" t="str">
        <f>IFERROR(__xludf.DUMMYFUNCTION("""COMPUTED_VALUE"""),"Stonecroak Ninja Village in the Quarry")</f>
        <v>Stonecroak Ninja Village in the Quarry</v>
      </c>
      <c r="B96" s="2" t="str">
        <f>IFERROR(__xludf.DUMMYFUNCTION("""COMPUTED_VALUE"""),"Deep within a rugged and formidable quarry, the Stonecroak Ninja Village stands as a testament to the strength and perseverance of the Frogonian people, Stonecroak embodies the indomitable spirit, steadfastness, and the art of the Ninja carved into the ve"&amp;"ry bedrock of their surroundings.
Stonecroak Ninja Village is a remarkable sight, built amidst towering cliffs and rocky formations. The village seamlessly integrates with the quarry, with structures hewn from the very stone that surrounds them. The vill"&amp;"age pathways wind through intricate tunnels and rocky passages, utilizing the natural formations to create a labyrinthine network that conceals their village from prying eyes.
As one ventures deeper into the village, the echoes of stone on stone fill the"&amp;" air, accompanied by the scent of dust and earth. The village exudes an air of resilience and strength, with sturdy stone buildings rising proudly against the quarry walls. The architecture reflects the Frogonians' connection to the quarry, utilizing the "&amp;"raw materials with a blend of artistry and functionality.
Within Stonecroak Ninja Village, the Frogonians train rigorously, honing their ninja skills to perfection. The village serves as a training ground for the young ninja apprentices, guided by experi"&amp;"enced mentors who impart their wisdom and expertise. They train in the arts of combat, stealth, and elemental manipulation, utilizing the rocky terrain to their advantage and adapting their techniques to the quarry's unique challenges.
The village hums w"&amp;"ith activity, a testament to the Frogonians' unyielding spirit. The central plaza serves as a focal point, where villagers gather to share stories, test their skills, and revel in the camaraderie of their fellow Ninja. The village elders, revered for thei"&amp;"r wisdom and experience, ensure the preservation of the Frogonian traditions, passing down the ancient knowledge of the ninja arts and the bond between the Frogonians and the stone.
With unwavering determination and a deep connection to the stone, the Fr"&amp;"ogonians of Stonecroak Village stand as the protectors of their quarry domain. They defend their village with resolute strength, utilizing their skills and elemental techniques to turn the very rocks against their adversaries.
Stonecroak Village symboliz"&amp;"es the Frogonians' unyielding spirit, their unwavering commitment to their craft, and their profound bond with the stone. It is a testament to their resilience, strength, and the unity that binds them to their quarry sanctuary. In Stonecroak, the Frogonia"&amp;"ns embody the enduring spirit of the Ninja, etching their mark into the annals of history with each resounding step upon the stone.")</f>
        <v>Deep within a rugged and formidable quarry, the Stonecroak Ninja Village stands as a testament to the strength and perseverance of the Frogonian people, Stonecroak embodies the indomitable spirit, steadfastness, and the art of the Ninja carved into the very bedrock of their surroundings.
Stonecroak Ninja Village is a remarkable sight, built amidst towering cliffs and rocky formations. The village seamlessly integrates with the quarry, with structures hewn from the very stone that surrounds them. The village pathways wind through intricate tunnels and rocky passages, utilizing the natural formations to create a labyrinthine network that conceals their village from prying eyes.
As one ventures deeper into the village, the echoes of stone on stone fill the air, accompanied by the scent of dust and earth. The village exudes an air of resilience and strength, with sturdy stone buildings rising proudly against the quarry walls. The architecture reflects the Frogonians' connection to the quarry, utilizing the raw materials with a blend of artistry and functionality.
Within Stonecroak Ninja Village, the Frogonians train rigorously, honing their ninja skills to perfection. The village serves as a training ground for the young ninja apprentices, guided by experienced mentors who impart their wisdom and expertise. They train in the arts of combat, stealth, and elemental manipulation, utilizing the rocky terrain to their advantage and adapting their techniques to the quarry's unique challenges.
The village hums with activity, a testament to the Frogonians' unyielding spirit. The central plaza serves as a focal point, where villagers gather to share stories, test their skills, and revel in the camaraderie of their fellow Ninja. The village elders, revered for their wisdom and experience, ensure the preservation of the Frogonian traditions, passing down the ancient knowledge of the ninja arts and the bond between the Frogonians and the stone.
With unwavering determination and a deep connection to the stone, the Frogonians of Stonecroak Village stand as the protectors of their quarry domain. They defend their village with resolute strength, utilizing their skills and elemental techniques to turn the very rocks against their adversaries.
Stonecroak Village symbolizes the Frogonians' unyielding spirit, their unwavering commitment to their craft, and their profound bond with the stone. It is a testament to their resilience, strength, and the unity that binds them to their quarry sanctuary. In Stonecroak, the Frogonians embody the enduring spirit of the Ninja, etching their mark into the annals of history with each resounding step upon the stone.</v>
      </c>
      <c r="C96" s="2" t="str">
        <f>IFERROR(__xludf.DUMMYFUNCTION("""COMPUTED_VALUE"""),"Dragonscale Island")</f>
        <v>Dragonscale Island</v>
      </c>
      <c r="D96" s="2"/>
      <c r="E96" s="16">
        <f>IFERROR(__xludf.DUMMYFUNCTION("""COMPUTED_VALUE"""),1.0E9)</f>
        <v>1000000000</v>
      </c>
      <c r="F96" s="2" t="str">
        <f>IFERROR(__xludf.DUMMYFUNCTION("""COMPUTED_VALUE"""),"Gilder")</f>
        <v>Gilder</v>
      </c>
      <c r="G96" s="2"/>
      <c r="H96" s="2"/>
      <c r="I96" s="2"/>
      <c r="J96" s="2"/>
      <c r="K96" s="2"/>
      <c r="L96" s="2"/>
      <c r="M96" s="2"/>
      <c r="N96" s="2"/>
      <c r="O96" s="2"/>
      <c r="P96" s="2"/>
      <c r="Q96" s="2"/>
      <c r="R96" s="2"/>
      <c r="S96" s="2"/>
      <c r="T96" s="2"/>
      <c r="U96" s="2"/>
      <c r="V96" s="2"/>
      <c r="W96" s="2"/>
      <c r="X96" s="2"/>
      <c r="Y96" s="2"/>
      <c r="Z96" s="2"/>
    </row>
    <row r="97">
      <c r="A97" s="2" t="str">
        <f>IFERROR(__xludf.DUMMYFUNCTION("""COMPUTED_VALUE"""),"Amphibuki Hideout")</f>
        <v>Amphibuki Hideout</v>
      </c>
      <c r="B97" s="2" t="str">
        <f>IFERROR(__xludf.DUMMYFUNCTION("""COMPUTED_VALUE"""),"The Amphibuki Hideout, serving as the sinister lair for the members of the Amphibuki is a foreboding and treacherous place concealed within the treacherous depths of the Frogonian wetlands. This secret sanctuary is an embodiment of darkness and malevolenc"&amp;"e, designed to strike fear into the hearts of all who dare to venture near.
The hideout's exterior exudes an eerie aura, with its imposing silhouette rising amidst the murky swamplands. The structure is constructed from rough-hewn stones, encrusted with "&amp;"slimy moss that seems to writhe with a life of its own. Sinister carvings of twisted amphibian creatures adorn the walls, their eyes gleaming with malice as if watching intruders with predatory intent.
Stepping through the hidden entrance, one is met wit"&amp;"h a cavernous and dimly lit interior, the air thick with a dank, oppressive atmosphere. Flickering torches cast eerie shadows on the damp stone walls, creating an unsettling dance of light and darkness. The echoes of sinister whispers seem to permeate the"&amp;" air, hinting at the clandestine activities that take place within.
The hideout's central chamber serves as a gathering place for the Amphibuki members, a room steeped in wickedness and secrecy. A large circular platform, adorned with a menacing emblem r"&amp;"epresenting a malevolent frog deity, dominates the center. Sinister symbols and ominous artifacts decorate the walls, evoking a sense of dread and foreboding.
Snaking corridors branch out from the central chamber, leading to individual quarters for each "&amp;"Amphibuki member. These chambers reflect their vile nature, with dimly lit spaces adorned with macabre decorations. Torturous devices, forbidden scrolls of dark arts, and trophies from past conquests line the walls, showcasing their wicked deeds and insid"&amp;"ious prowess.
Within the depths of the hideout, secret chambers hide arcane laboratories and chambers of experimentation. Here, forbidden rituals are performed, and dark alchemical concoctions bubble and seethe in cauldrons. The acrid scent of dangerous "&amp;"potions and elixirs fills the air, mingling with the foreboding atmosphere of the hideout.
The Amphibuki Hideout stands as a testament to the members' malevolence and their nefarious intentions. It is a place where evil plots are hatched, where darkness "&amp;"thrives, and where the vilest of intentions are nurtured. The hideout's very existence serves as a constant reminder of the menacing presence and imminent danger posed by the Amphibuki")</f>
        <v>The Amphibuki Hideout, serving as the sinister lair for the members of the Amphibuki is a foreboding and treacherous place concealed within the treacherous depths of the Frogonian wetlands. This secret sanctuary is an embodiment of darkness and malevolence, designed to strike fear into the hearts of all who dare to venture near.
The hideout's exterior exudes an eerie aura, with its imposing silhouette rising amidst the murky swamplands. The structure is constructed from rough-hewn stones, encrusted with slimy moss that seems to writhe with a life of its own. Sinister carvings of twisted amphibian creatures adorn the walls, their eyes gleaming with malice as if watching intruders with predatory intent.
Stepping through the hidden entrance, one is met with a cavernous and dimly lit interior, the air thick with a dank, oppressive atmosphere. Flickering torches cast eerie shadows on the damp stone walls, creating an unsettling dance of light and darkness. The echoes of sinister whispers seem to permeate the air, hinting at the clandestine activities that take place within.
The hideout's central chamber serves as a gathering place for the Amphibuki members, a room steeped in wickedness and secrecy. A large circular platform, adorned with a menacing emblem representing a malevolent frog deity, dominates the center. Sinister symbols and ominous artifacts decorate the walls, evoking a sense of dread and foreboding.
Snaking corridors branch out from the central chamber, leading to individual quarters for each Amphibuki member. These chambers reflect their vile nature, with dimly lit spaces adorned with macabre decorations. Torturous devices, forbidden scrolls of dark arts, and trophies from past conquests line the walls, showcasing their wicked deeds and insidious prowess.
Within the depths of the hideout, secret chambers hide arcane laboratories and chambers of experimentation. Here, forbidden rituals are performed, and dark alchemical concoctions bubble and seethe in cauldrons. The acrid scent of dangerous potions and elixirs fills the air, mingling with the foreboding atmosphere of the hideout.
The Amphibuki Hideout stands as a testament to the members' malevolence and their nefarious intentions. It is a place where evil plots are hatched, where darkness thrives, and where the vilest of intentions are nurtured. The hideout's very existence serves as a constant reminder of the menacing presence and imminent danger posed by the Amphibuki</v>
      </c>
      <c r="C97" s="2" t="str">
        <f>IFERROR(__xludf.DUMMYFUNCTION("""COMPUTED_VALUE"""),"Dragonscale Island")</f>
        <v>Dragonscale Island</v>
      </c>
      <c r="D97" s="2"/>
      <c r="E97" s="16">
        <f>IFERROR(__xludf.DUMMYFUNCTION("""COMPUTED_VALUE"""),1.0E9)</f>
        <v>1000000000</v>
      </c>
      <c r="F97" s="2" t="str">
        <f>IFERROR(__xludf.DUMMYFUNCTION("""COMPUTED_VALUE"""),"Gilder")</f>
        <v>Gilder</v>
      </c>
      <c r="G97" s="2"/>
      <c r="H97" s="2"/>
      <c r="I97" s="2"/>
      <c r="J97" s="2"/>
      <c r="K97" s="2"/>
      <c r="L97" s="2"/>
      <c r="M97" s="2"/>
      <c r="N97" s="2"/>
      <c r="O97" s="2"/>
      <c r="P97" s="2"/>
      <c r="Q97" s="2"/>
      <c r="R97" s="2"/>
      <c r="S97" s="2"/>
      <c r="T97" s="2"/>
      <c r="U97" s="2"/>
      <c r="V97" s="2"/>
      <c r="W97" s="2"/>
      <c r="X97" s="2"/>
      <c r="Y97" s="2"/>
      <c r="Z97" s="2"/>
    </row>
    <row r="98">
      <c r="A98" s="2" t="str">
        <f>IFERROR(__xludf.DUMMYFUNCTION("""COMPUTED_VALUE"""),"The Magical and Majestic Mountains")</f>
        <v>The Magical and Majestic Mountains</v>
      </c>
      <c r="B98" s="2" t="str">
        <f>IFERROR(__xludf.DUMMYFUNCTION("""COMPUTED_VALUE"""),"Back in the age when the world was still young and its mysteries abundant, a powerful and benevolent sorceress named Seraphina sought a place where magic and nature could coexist in perfect harmony. Seraphina was renowned across the realm for her mastery "&amp;"over the arcane arts and her unwavering love for the natural world. She yearned to create a sanctuary that would serve as a haven for magical creatures, a refuge for weary adventurers, and a center for the study and practice of magic.
After years of tire"&amp;"less searching, Seraphina stumbled upon a hidden valley nestled between towering peaks. The beauty of the land was unparalleled, with lush forests, sparkling rivers, and vibrant meadows. The valley was surrounded by majestic mountains that seemed to touch"&amp;" the sky itself, their peaks perpetually capped with glistening snow. Seraphina knew she had found the perfect location for her vision.
With her unparalleled magical prowess, Seraphina set to work. She channeled her magic into the land, intertwining natu"&amp;"re and arcane power in ways that had never been attempted before. She cast spells to enhance the fertility of the soil, encouraging the growth of rare and magical plants. She channeled energy into the rivers, infusing them with enchantments that granted t"&amp;"he creatures that dwelled within them a touch of magic.
The mountains themselves were no exception to Seraphina's grand design. She crafted intricate runes and sigils into the very rock and soil, imbuing the land with protective wards and a heightened co"&amp;"nnection to the magical energies that flowed through the world. The tallest peak, known as Celestia's Crown, held a great crystal at its summit, a beacon that resonated with the heart of the valley.
As time passed, the valley flourished. Magical creature"&amp;"s from far and wide were drawn to the place, and adventurers seeking to learn from Seraphina's wisdom flocked to her side. The Magical and Majestic Mountains became a bastion of magical knowledge, a melting pot of different cultures and species, all livin"&amp;"g in harmony under the watchful eye of Seraphina.
However, as with all tales of magic and wonder, challenges arose. Seraphina's creation did not go unnoticed by darker forces in the world. A cabal of renegade sorcerers, envious of her power, sought to la"&amp;"y claim to the valley. Thus began the Battle of the Peaks, a cataclysmic clash between the forces of light and darkness that echoed throughout the land.
Ultimately, Seraphina and her allies managed to repel the attackers, but the battle left scars on the"&amp;" land and changed the valley forever. The crystal atop Celestia's Crown cracked, sending shards of magic scattering across the realm. While the valley remained a place of wonder, its enchantments became wild and unpredictable, and some areas were forever "&amp;"altered by the conflict.
To this day, the Magical and Majestic Mountains stand as a testament to Seraphina's dream and the enduring power of magic. Adventurers still journey to the valley in search of wisdom and wonder, and the echoes of the Battle of th"&amp;"e Peaks serve as a reminder that even in the most magical of places, darkness can never be fully vanquished.")</f>
        <v>Back in the age when the world was still young and its mysteries abundant, a powerful and benevolent sorceress named Seraphina sought a place where magic and nature could coexist in perfect harmony. Seraphina was renowned across the realm for her mastery over the arcane arts and her unwavering love for the natural world. She yearned to create a sanctuary that would serve as a haven for magical creatures, a refuge for weary adventurers, and a center for the study and practice of magic.
After years of tireless searching, Seraphina stumbled upon a hidden valley nestled between towering peaks. The beauty of the land was unparalleled, with lush forests, sparkling rivers, and vibrant meadows. The valley was surrounded by majestic mountains that seemed to touch the sky itself, their peaks perpetually capped with glistening snow. Seraphina knew she had found the perfect location for her vision.
With her unparalleled magical prowess, Seraphina set to work. She channeled her magic into the land, intertwining nature and arcane power in ways that had never been attempted before. She cast spells to enhance the fertility of the soil, encouraging the growth of rare and magical plants. She channeled energy into the rivers, infusing them with enchantments that granted the creatures that dwelled within them a touch of magic.
The mountains themselves were no exception to Seraphina's grand design. She crafted intricate runes and sigils into the very rock and soil, imbuing the land with protective wards and a heightened connection to the magical energies that flowed through the world. The tallest peak, known as Celestia's Crown, held a great crystal at its summit, a beacon that resonated with the heart of the valley.
As time passed, the valley flourished. Magical creatures from far and wide were drawn to the place, and adventurers seeking to learn from Seraphina's wisdom flocked to her side. The Magical and Majestic Mountains became a bastion of magical knowledge, a melting pot of different cultures and species, all living in harmony under the watchful eye of Seraphina.
However, as with all tales of magic and wonder, challenges arose. Seraphina's creation did not go unnoticed by darker forces in the world. A cabal of renegade sorcerers, envious of her power, sought to lay claim to the valley. Thus began the Battle of the Peaks, a cataclysmic clash between the forces of light and darkness that echoed throughout the land.
Ultimately, Seraphina and her allies managed to repel the attackers, but the battle left scars on the land and changed the valley forever. The crystal atop Celestia's Crown cracked, sending shards of magic scattering across the realm. While the valley remained a place of wonder, its enchantments became wild and unpredictable, and some areas were forever altered by the conflict.
To this day, the Magical and Majestic Mountains stand as a testament to Seraphina's dream and the enduring power of magic. Adventurers still journey to the valley in search of wisdom and wonder, and the echoes of the Battle of the Peaks serve as a reminder that even in the most magical of places, darkness can never be fully vanquished.</v>
      </c>
      <c r="C98" s="2" t="str">
        <f>IFERROR(__xludf.DUMMYFUNCTION("""COMPUTED_VALUE"""),"Land of Spira")</f>
        <v>Land of Spira</v>
      </c>
      <c r="D98" s="2"/>
      <c r="E98" s="16">
        <f>IFERROR(__xludf.DUMMYFUNCTION("""COMPUTED_VALUE"""),1.0E9)</f>
        <v>1000000000</v>
      </c>
      <c r="F98" s="2" t="str">
        <f>IFERROR(__xludf.DUMMYFUNCTION("""COMPUTED_VALUE"""),"Gilder")</f>
        <v>Gilder</v>
      </c>
      <c r="G98" s="2"/>
      <c r="H98" s="2"/>
      <c r="I98" s="2"/>
      <c r="J98" s="2"/>
      <c r="K98" s="2"/>
      <c r="L98" s="2"/>
      <c r="M98" s="2"/>
      <c r="N98" s="2"/>
      <c r="O98" s="2"/>
      <c r="P98" s="2"/>
      <c r="Q98" s="2"/>
      <c r="R98" s="2"/>
      <c r="S98" s="2"/>
      <c r="T98" s="2"/>
      <c r="U98" s="2"/>
      <c r="V98" s="2"/>
      <c r="W98" s="2"/>
      <c r="X98" s="2"/>
      <c r="Y98" s="2"/>
      <c r="Z98" s="2"/>
    </row>
    <row r="99">
      <c r="A99" s="2" t="str">
        <f>IFERROR(__xludf.DUMMYFUNCTION("""COMPUTED_VALUE"""),"Magical Mountains of Manifestations")</f>
        <v>Magical Mountains of Manifestations</v>
      </c>
      <c r="B99" s="2" t="str">
        <f>IFERROR(__xludf.DUMMYFUNCTION("""COMPUTED_VALUE"""),"Long ago, in an age shrouded in mysticism and forgotten legends, the world was a canvas for the whims of powerful beings known as the Archanists. These Archanists were sorcerers of unparalleled skill, capable of bending reality to their will through the s"&amp;"heer force of their magic. Each Archanist sought to leave their mark on the world, to shape it according to their desires.
Amidst towering peaks that reached into the heavens, there existed a range of mountains known as the ""Ethereal Spine."" Here, the "&amp;"landscape was a living testament to the Archanists' boundless power. Each mountain in the range was infused with a unique magical essence, and these energies interacted in ways that defied the very laws of nature. Rivers of liquid light flowed uphill, whi"&amp;"le floating islands adorned with ancient trees drifted through the skies.
In the heart of the Ethereal Spine lay the ""Magical Mountains of Manifestations."" These mountains were a collaborative creation of the Archanists, a place where their magical exp"&amp;"erimentation and artistic ambitions converged. The Archanists realized that the range possessed a natural affinity for manifestations—bringing thoughts and dreams into tangible existence. They established the mountains as a sanctuary for their most audaci"&amp;"ous experiments, where magic was not merely cast but woven into the very fabric of reality.
The Archanists' spells and incantations left traces in the land itself, etching arcane symbols into the stones and trees. Over time, these symbols gained sentienc"&amp;"e and consciousness of their own, becoming guardians of the mountains and protectors of the Archanists' legacy. These magical entities, known as the ""Glyphwardens,"" possessed the ability to reshape the landscape based on the intentions of those who soug"&amp;"ht their favor.
Legends tell of brave individuals who ventured into the Magical Mountains of Manifestations seeking to harness their power. The Glyphwardens would present challenges that were both trials of strength and tests of character. Those who prov"&amp;"ed themselves worthy were granted access to the Archanists' ""Gallery of Echoed Realities,"" a hidden space between dimensions where past and future manifested in breathtaking displays of magic and wonder.
However, the age of the Archanists eventually wa"&amp;"ned. Their internal conflicts and lust for supremacy led to a cataclysmic event known as the ""Rupture,"" which tore through the world, forever altering the balance of magic. The Ethereal Spine was not spared, and the Magical Mountains of Manifestations w"&amp;"ere sealed off from the rest of the world by a barrier of unstable magic.
As time flowed onward, the memory of the Archanists faded into myth, and the mountains and their mysteries became the stuff of bedtime stories and cautionary tales. Adventurers and"&amp;" scholars alike sought the mountains, drawn by the promise of unimaginable power. Only a select few managed to breach the barrier and step foot in the ethereal realm beyond.
Today, the Magical Mountains of Manifestations stand as a realm of paradoxes, wh"&amp;"ere dreams become reality and reality becomes dreams. The Glyphwardens continue to guard the mountains, awaiting those who can prove themselves worthy of the Archanists' legacy. As the world changes around them, the mountains remain a testament to an era "&amp;"when magic and artistry merged in harmonious splendor—a testament to the Archanists' ambition and the enduring legacy of their enchantments.")</f>
        <v>Long ago, in an age shrouded in mysticism and forgotten legends, the world was a canvas for the whims of powerful beings known as the Archanists. These Archanists were sorcerers of unparalleled skill, capable of bending reality to their will through the sheer force of their magic. Each Archanist sought to leave their mark on the world, to shape it according to their desires.
Amidst towering peaks that reached into the heavens, there existed a range of mountains known as the "Ethereal Spine." Here, the landscape was a living testament to the Archanists' boundless power. Each mountain in the range was infused with a unique magical essence, and these energies interacted in ways that defied the very laws of nature. Rivers of liquid light flowed uphill, while floating islands adorned with ancient trees drifted through the skies.
In the heart of the Ethereal Spine lay the "Magical Mountains of Manifestations." These mountains were a collaborative creation of the Archanists, a place where their magical experimentation and artistic ambitions converged. The Archanists realized that the range possessed a natural affinity for manifestations—bringing thoughts and dreams into tangible existence. They established the mountains as a sanctuary for their most audacious experiments, where magic was not merely cast but woven into the very fabric of reality.
The Archanists' spells and incantations left traces in the land itself, etching arcane symbols into the stones and trees. Over time, these symbols gained sentience and consciousness of their own, becoming guardians of the mountains and protectors of the Archanists' legacy. These magical entities, known as the "Glyphwardens," possessed the ability to reshape the landscape based on the intentions of those who sought their favor.
Legends tell of brave individuals who ventured into the Magical Mountains of Manifestations seeking to harness their power. The Glyphwardens would present challenges that were both trials of strength and tests of character. Those who proved themselves worthy were granted access to the Archanists' "Gallery of Echoed Realities," a hidden space between dimensions where past and future manifested in breathtaking displays of magic and wonder.
However, the age of the Archanists eventually waned. Their internal conflicts and lust for supremacy led to a cataclysmic event known as the "Rupture," which tore through the world, forever altering the balance of magic. The Ethereal Spine was not spared, and the Magical Mountains of Manifestations were sealed off from the rest of the world by a barrier of unstable magic.
As time flowed onward, the memory of the Archanists faded into myth, and the mountains and their mysteries became the stuff of bedtime stories and cautionary tales. Adventurers and scholars alike sought the mountains, drawn by the promise of unimaginable power. Only a select few managed to breach the barrier and step foot in the ethereal realm beyond.
Today, the Magical Mountains of Manifestations stand as a realm of paradoxes, where dreams become reality and reality becomes dreams. The Glyphwardens continue to guard the mountains, awaiting those who can prove themselves worthy of the Archanists' legacy. As the world changes around them, the mountains remain a testament to an era when magic and artistry merged in harmonious splendor—a testament to the Archanists' ambition and the enduring legacy of their enchantments.</v>
      </c>
      <c r="C99" s="2" t="str">
        <f>IFERROR(__xludf.DUMMYFUNCTION("""COMPUTED_VALUE"""),"Land of Spira")</f>
        <v>Land of Spira</v>
      </c>
      <c r="D99" s="2"/>
      <c r="E99" s="16">
        <f>IFERROR(__xludf.DUMMYFUNCTION("""COMPUTED_VALUE"""),1.0E9)</f>
        <v>1000000000</v>
      </c>
      <c r="F99" s="2" t="str">
        <f>IFERROR(__xludf.DUMMYFUNCTION("""COMPUTED_VALUE"""),"Gilder")</f>
        <v>Gilder</v>
      </c>
      <c r="G99" s="2"/>
      <c r="H99" s="2"/>
      <c r="I99" s="2"/>
      <c r="J99" s="2"/>
      <c r="K99" s="2"/>
      <c r="L99" s="2"/>
      <c r="M99" s="2"/>
      <c r="N99" s="2"/>
      <c r="O99" s="2"/>
      <c r="P99" s="2"/>
      <c r="Q99" s="2"/>
      <c r="R99" s="2"/>
      <c r="S99" s="2"/>
      <c r="T99" s="2"/>
      <c r="U99" s="2"/>
      <c r="V99" s="2"/>
      <c r="W99" s="2"/>
      <c r="X99" s="2"/>
      <c r="Y99" s="2"/>
      <c r="Z99" s="2"/>
    </row>
    <row r="100">
      <c r="A100" s="2" t="str">
        <f>IFERROR(__xludf.DUMMYFUNCTION("""COMPUTED_VALUE"""),"Mountains of War and Dishonor ")</f>
        <v>Mountains of War and Dishonor </v>
      </c>
      <c r="B100" s="2" t="str">
        <f>IFERROR(__xludf.DUMMYFUNCTION("""COMPUTED_VALUE"""),"In the annals of history, there are tales of lands where valor and honor clashed with darkness and betrayal. The Mountains of War and Dishonor stand as a stark testament to one such tale, a realm born from the convergence of power, ambition, and a tragic "&amp;"fall from grace.
Long ago, in a kingdom known as Valoria, a noble dynasty known as House Drakengard reigned supreme. The Drakengards were renowned for their chivalry, prowess in battle, and unyielding commitment to honor. The kingdom prospered under thei"&amp;"r rule, and the Mountains of War and Dishonor were a central part of their domain.
The mountains were home to a sacred order of knights known as the Knights of Valor. For generations, these knights upheld a code of honor and righteousness, dedicating the"&amp;"ir lives to protecting the realm from external threats and maintaining harmony within. The mountains themselves were believed to hold an ancient power, said to grant immeasurable strength to those who were truly just and honorable.
However, as the genera"&amp;"tions passed, the once-proud House Drakengard began to succumb to internal strife and corruption. A power-hungry scion of the house, Lord Malric, sought to expand his dominion at any cost. Driven by a lust for conquest and the allure of forbidden magics, "&amp;"he turned away from the noble principles that had guided his ancestors.
In his pursuit of power, Lord Malric began to amass a ruthless army, conscripting not only loyal soldiers but also mercenaries and dark sorcerers. As his ambitions grew, he set his s"&amp;"ights on the Mountains of War and Dishonor. Despite the protests of the Knights of Valor, Lord Malric believed that by tapping into the ancient magic of the mountains, he could attain unrivaled might and secure his place as the most powerful ruler in the "&amp;"land.
The Knights of Valor, sworn to protect their realm from such corruption, faced an agonizing decision. They found themselves torn between their loyalty to House Drakengard and their unwavering commitment to honor. Recognizing that Lord Malric's acti"&amp;"ons had strayed far from the path of righteousness, a faction of the knights led by the valiant Sir Aric chose to stand against their own liege.
The ensuing conflict was a brutal and heart-wrenching civil war. The Mountains of War and Dishonor, once a sy"&amp;"mbol of honor, now echoed with the clash of swords and the thunder of dark sorcery. The land became marred by the bloodshed, as the knights who once stood united against external threats were now locked in combat against their own kin.
Ultimately, the co"&amp;"nflict reached its climax in a cataclysmic battle atop the highest peak of the mountains. Sir Aric and his loyal knights faced Lord Malric's forces in a final showdown. The battle was fierce, with magic and steel intertwining in a dance of destruction. In"&amp;" the end, Sir Aric managed to defeat Lord Malric in a duel that shook the very foundations of the mountains.
But victory came at a heavy price. The once-proud Mountains of War and Dishonor had become a scarred and desolate land, forever tainted by the di"&amp;"shonor and bloodshed that had stained its slopes. The surviving Knights of Valor, broken and battle-weary, made a solemn vow to guard the mountains as a grim reminder of the consequences of ambition unchecked by honor.
To this day, the Mountains of War a"&amp;"nd Dishonor stand as a haunting monument to the fallibility of even the noblest of ideals. The land serves as a cautionary tale, a place where the clash of honor and dishonor resounds through the ages, a stark reminder that the pursuit of power without mo"&amp;"ral restraint can lead even the most virtuous to the precipice of ruin.")</f>
        <v>In the annals of history, there are tales of lands where valor and honor clashed with darkness and betrayal. The Mountains of War and Dishonor stand as a stark testament to one such tale, a realm born from the convergence of power, ambition, and a tragic fall from grace.
Long ago, in a kingdom known as Valoria, a noble dynasty known as House Drakengard reigned supreme. The Drakengards were renowned for their chivalry, prowess in battle, and unyielding commitment to honor. The kingdom prospered under their rule, and the Mountains of War and Dishonor were a central part of their domain.
The mountains were home to a sacred order of knights known as the Knights of Valor. For generations, these knights upheld a code of honor and righteousness, dedicating their lives to protecting the realm from external threats and maintaining harmony within. The mountains themselves were believed to hold an ancient power, said to grant immeasurable strength to those who were truly just and honorable.
However, as the generations passed, the once-proud House Drakengard began to succumb to internal strife and corruption. A power-hungry scion of the house, Lord Malric, sought to expand his dominion at any cost. Driven by a lust for conquest and the allure of forbidden magics, he turned away from the noble principles that had guided his ancestors.
In his pursuit of power, Lord Malric began to amass a ruthless army, conscripting not only loyal soldiers but also mercenaries and dark sorcerers. As his ambitions grew, he set his sights on the Mountains of War and Dishonor. Despite the protests of the Knights of Valor, Lord Malric believed that by tapping into the ancient magic of the mountains, he could attain unrivaled might and secure his place as the most powerful ruler in the land.
The Knights of Valor, sworn to protect their realm from such corruption, faced an agonizing decision. They found themselves torn between their loyalty to House Drakengard and their unwavering commitment to honor. Recognizing that Lord Malric's actions had strayed far from the path of righteousness, a faction of the knights led by the valiant Sir Aric chose to stand against their own liege.
The ensuing conflict was a brutal and heart-wrenching civil war. The Mountains of War and Dishonor, once a symbol of honor, now echoed with the clash of swords and the thunder of dark sorcery. The land became marred by the bloodshed, as the knights who once stood united against external threats were now locked in combat against their own kin.
Ultimately, the conflict reached its climax in a cataclysmic battle atop the highest peak of the mountains. Sir Aric and his loyal knights faced Lord Malric's forces in a final showdown. The battle was fierce, with magic and steel intertwining in a dance of destruction. In the end, Sir Aric managed to defeat Lord Malric in a duel that shook the very foundations of the mountains.
But victory came at a heavy price. The once-proud Mountains of War and Dishonor had become a scarred and desolate land, forever tainted by the dishonor and bloodshed that had stained its slopes. The surviving Knights of Valor, broken and battle-weary, made a solemn vow to guard the mountains as a grim reminder of the consequences of ambition unchecked by honor.
To this day, the Mountains of War and Dishonor stand as a haunting monument to the fallibility of even the noblest of ideals. The land serves as a cautionary tale, a place where the clash of honor and dishonor resounds through the ages, a stark reminder that the pursuit of power without moral restraint can lead even the most virtuous to the precipice of ruin.</v>
      </c>
      <c r="C100" s="2" t="str">
        <f>IFERROR(__xludf.DUMMYFUNCTION("""COMPUTED_VALUE"""),"Land of Spira")</f>
        <v>Land of Spira</v>
      </c>
      <c r="D100" s="2"/>
      <c r="E100" s="16">
        <f>IFERROR(__xludf.DUMMYFUNCTION("""COMPUTED_VALUE"""),1.0E9)</f>
        <v>1000000000</v>
      </c>
      <c r="F100" s="2" t="str">
        <f>IFERROR(__xludf.DUMMYFUNCTION("""COMPUTED_VALUE"""),"Gilder")</f>
        <v>Gilder</v>
      </c>
      <c r="G100" s="2"/>
      <c r="H100" s="2"/>
      <c r="I100" s="2"/>
      <c r="J100" s="2"/>
      <c r="K100" s="2"/>
      <c r="L100" s="2"/>
      <c r="M100" s="2"/>
      <c r="N100" s="2"/>
      <c r="O100" s="2"/>
      <c r="P100" s="2"/>
      <c r="Q100" s="2"/>
      <c r="R100" s="2"/>
      <c r="S100" s="2"/>
      <c r="T100" s="2"/>
      <c r="U100" s="2"/>
      <c r="V100" s="2"/>
      <c r="W100" s="2"/>
      <c r="X100" s="2"/>
      <c r="Y100" s="2"/>
      <c r="Z100" s="2"/>
    </row>
    <row r="101">
      <c r="A101" s="2" t="str">
        <f>IFERROR(__xludf.DUMMYFUNCTION("""COMPUTED_VALUE"""),"Centraria")</f>
        <v>Centraria</v>
      </c>
      <c r="B101" s="2" t="str">
        <f>IFERROR(__xludf.DUMMYFUNCTION("""COMPUTED_VALUE"""),"Centraria, the heart of enchantment nestled within The Land of Spira, has a history that dates back to a time when magic flowed freely and the world was a tapestry woven with threads of wonder. The city's creation is attributed to the Archmage Arinthor, a"&amp;" legendary sorcerer of unparalleled skill and boundless imagination.
In an era when the boundaries between the mundane and the mystical were blurred, Arinthor sought to create a place where the various magical traditions, races, and creatures could coexi"&amp;"st in harmony. Guided by a vision of unity and shared knowledge, he erected Centraria at the convergence of ley lines, where the magical energies of the world converged in a symphony of power.
The city itself was a testament to Arinthor's mastery over ma"&amp;"gic. Its architecture defied the laws of physics, with floating towers suspended in the air, bridges made of light connecting districts, and streets that shimmered with illusions. The city's layout was a labyrinthine puzzle, a testament to Arinthor's love"&amp;" for riddles and challenges. The grand central plaza, known as the Nexus Square, was a place of convergence where magic users from every corner of The Land of Spira would gather to share knowledge, exchange spells, and seek wisdom.
Within Centraria's bou"&amp;"ndaries, magical wonders were commonplace. Markets peddled enchanted artifacts, alchemical concoctions, and creatures born of dreams. Arcane libraries held tomes that whispered forgotten incantations, and elemental gardens bloomed with plants that exuded "&amp;"magical auras. The air itself crackled with latent energy, and the auroras that danced in the skies above were said to be reflections of the city's mystical heartbeat.
The city's prosperity and enchantment attracted both admirers and those with nefarious"&amp;" intent. It was during a period known as the Shrouded Twilight that a group of rogue sorcerers, known as the Obsidian Cabal, attempted to usurp the power at the heart of Centraria for their own gain. A conflict of cataclysmic proportions erupted between t"&amp;"he forces of darkness and those who sought to protect the city's sanctity.
The battle raged for months, and the magical clashes scarred the landscape and forever changed the fabric of Centraria. The Nexus Square, once a beacon of harmony, was left in rui"&amp;"ns. The ley lines were disrupted, causing magic to become unpredictable and often dangerous. The Obsidian Cabal was eventually defeated, but the cost was great.
Today, Centraria remains a city of ancient wonder and magical mystery, but its scars are wove"&amp;"n into its very essence. The floating towers are now remnants, half-submerged in the ground or suspended at odd angles. The bridges of light have become fractured pathways of shifting illusions. And the Nexus Square, while still a place of gathering, carr"&amp;"ies the weight of its history, a reminder of the city's resilience in the face of darkness.
Adventurers now journey to Centraria in search of lost knowledge and potent artifacts. The city's inhabitants, a diverse array of magical beings, continue to fost"&amp;"er a sense of unity and learning, determined to rebuild and protect what remains. Centraria stands as a testament to the enduring power of magic, a city where the ancient wonder of the past dances with the mysteries of the present, and where the threads o"&amp;"f enchantment continue to weave their tapestry of awe and fascination.")</f>
        <v>Centraria, the heart of enchantment nestled within The Land of Spira, has a history that dates back to a time when magic flowed freely and the world was a tapestry woven with threads of wonder. The city's creation is attributed to the Archmage Arinthor, a legendary sorcerer of unparalleled skill and boundless imagination.
In an era when the boundaries between the mundane and the mystical were blurred, Arinthor sought to create a place where the various magical traditions, races, and creatures could coexist in harmony. Guided by a vision of unity and shared knowledge, he erected Centraria at the convergence of ley lines, where the magical energies of the world converged in a symphony of power.
The city itself was a testament to Arinthor's mastery over magic. Its architecture defied the laws of physics, with floating towers suspended in the air, bridges made of light connecting districts, and streets that shimmered with illusions. The city's layout was a labyrinthine puzzle, a testament to Arinthor's love for riddles and challenges. The grand central plaza, known as the Nexus Square, was a place of convergence where magic users from every corner of The Land of Spira would gather to share knowledge, exchange spells, and seek wisdom.
Within Centraria's boundaries, magical wonders were commonplace. Markets peddled enchanted artifacts, alchemical concoctions, and creatures born of dreams. Arcane libraries held tomes that whispered forgotten incantations, and elemental gardens bloomed with plants that exuded magical auras. The air itself crackled with latent energy, and the auroras that danced in the skies above were said to be reflections of the city's mystical heartbeat.
The city's prosperity and enchantment attracted both admirers and those with nefarious intent. It was during a period known as the Shrouded Twilight that a group of rogue sorcerers, known as the Obsidian Cabal, attempted to usurp the power at the heart of Centraria for their own gain. A conflict of cataclysmic proportions erupted between the forces of darkness and those who sought to protect the city's sanctity.
The battle raged for months, and the magical clashes scarred the landscape and forever changed the fabric of Centraria. The Nexus Square, once a beacon of harmony, was left in ruins. The ley lines were disrupted, causing magic to become unpredictable and often dangerous. The Obsidian Cabal was eventually defeated, but the cost was great.
Today, Centraria remains a city of ancient wonder and magical mystery, but its scars are woven into its very essence. The floating towers are now remnants, half-submerged in the ground or suspended at odd angles. The bridges of light have become fractured pathways of shifting illusions. And the Nexus Square, while still a place of gathering, carries the weight of its history, a reminder of the city's resilience in the face of darkness.
Adventurers now journey to Centraria in search of lost knowledge and potent artifacts. The city's inhabitants, a diverse array of magical beings, continue to foster a sense of unity and learning, determined to rebuild and protect what remains. Centraria stands as a testament to the enduring power of magic, a city where the ancient wonder of the past dances with the mysteries of the present, and where the threads of enchantment continue to weave their tapestry of awe and fascination.</v>
      </c>
      <c r="C101" s="2" t="str">
        <f>IFERROR(__xludf.DUMMYFUNCTION("""COMPUTED_VALUE"""),"Land of Spira")</f>
        <v>Land of Spira</v>
      </c>
      <c r="D101" s="2"/>
      <c r="E101" s="16">
        <f>IFERROR(__xludf.DUMMYFUNCTION("""COMPUTED_VALUE"""),1.0375E9)</f>
        <v>1037500000</v>
      </c>
      <c r="F101" s="2" t="str">
        <f>IFERROR(__xludf.DUMMYFUNCTION("""COMPUTED_VALUE"""),"Gilder")</f>
        <v>Gilder</v>
      </c>
      <c r="G101" s="2"/>
      <c r="H101" s="2"/>
      <c r="I101" s="2"/>
      <c r="J101" s="2"/>
      <c r="K101" s="2"/>
      <c r="L101" s="2"/>
      <c r="M101" s="2"/>
      <c r="N101" s="2"/>
      <c r="O101" s="2"/>
      <c r="P101" s="2"/>
      <c r="Q101" s="2"/>
      <c r="R101" s="2"/>
      <c r="S101" s="2"/>
      <c r="T101" s="2"/>
      <c r="U101" s="2"/>
      <c r="V101" s="2"/>
      <c r="W101" s="2"/>
      <c r="X101" s="2"/>
      <c r="Y101" s="2"/>
      <c r="Z101" s="2"/>
    </row>
    <row r="102">
      <c r="A102" s="2" t="str">
        <f>IFERROR(__xludf.DUMMYFUNCTION("""COMPUTED_VALUE"""),"The Lost City of Knappadalr")</f>
        <v>The Lost City of Knappadalr</v>
      </c>
      <c r="B102" s="2" t="str">
        <f>IFERROR(__xludf.DUMMYFUNCTION("""COMPUTED_VALUE"""),"The Lost City of Knappadalr stands as a testament to the Viking spirit of exploration, conquest, and innovation. In the age of sail and legend, when the winds of the north carried whispers of opportunity and uncharted lands, a group of intrepid Viking adv"&amp;"enturers set out to carve their legacy upon the world.
Led by the fierce and visionary chieftain, Ulfgar the Unyielding, a group of Viking warriors and settlers embarked on a journey that would lead them far beyond the familiar shores of their homeland. "&amp;"Guided by tales of distant lands rich with resources and untold wonders, they navigated treacherous seas and unpredictable weather, driven by a desire to establish a haven of their own.
After many months of traversing uncharted waters, the Vikings stumbl"&amp;"ed upon a hidden fjord nestled between towering cliffs and dense forests. It was here, surrounded by natural barriers, that they found the ideal location for their new settlement. With a mix of determination, hard work, and a sprinkling of magic from thei"&amp;"r runic lore, they established the city of Knappadalr.
The city quickly grew into a bustling hub of activity, its architecture seamlessly blending the Viking aesthetic with the mystique of the new lands they had discovered. Longhouses and wooden structur"&amp;"es lined the fjord, their intricate carvings telling tales of heroic deeds and ancient gods. The harbor brimmed with dragon-headed longships, and the sounds of metalworking and storytelling filled the air.
Ulfgar the Unyielding, ever a leader with grand "&amp;"ambitions, envisioned Knappadalr as not just a settlement, but a powerful trading and cultural center that bridged the old world and the new. He established a council of chieftains from various Viking clans to ensure the city's governance was rooted in un"&amp;"ity and respect for their diverse origins.
As years passed, Knappadalr thrived. Its strategic location made it a key point for trade routes, and its reputation for courage and skill in battle made it a respected force among neighboring settlements. The c"&amp;"ity's residents, a mix of Vikings and the indigenous people they encountered, forged a unique and vibrant culture that celebrated the richness of both their heritages.
However, like all tales of adventure, the city's story took a darker turn. As rumors o"&amp;"f Knappadalr's wealth and power spread, envious eyes turned toward the city, and factions from faraway lands set their sights on claiming its riches for themselves. One fateful night, a coalition of rivals launched a surprise attack, catching the city off"&amp;" guard. The Battle of the Fjord, as it came to be known, raged for days, leaving the city scarred and battered.
In the end, the defenders of Knappadalr emerged victorious, but the city lay in ruins. Ulfgar the Unyielding had fallen in battle, and the cou"&amp;"ncil was shattered. As the survivors picked up the pieces, they made the heart-wrenching decision to abandon their beloved city, fearing that its very existence had drawn the forces that sought to destroy it.
The Lost City of Knappadalr faded into the an"&amp;"nals of history, becoming a legend of a time when Vikings dared to explore the unknown and build a civilization that defied the odds. Today, adventurers and treasure seekers scour the fjords in search of its remnants, drawn by the promise of untold riches"&amp;" and the echoes of a civilization that once dared to dream of greatness in a distant land.")</f>
        <v>The Lost City of Knappadalr stands as a testament to the Viking spirit of exploration, conquest, and innovation. In the age of sail and legend, when the winds of the north carried whispers of opportunity and uncharted lands, a group of intrepid Viking adventurers set out to carve their legacy upon the world.
Led by the fierce and visionary chieftain, Ulfgar the Unyielding, a group of Viking warriors and settlers embarked on a journey that would lead them far beyond the familiar shores of their homeland. Guided by tales of distant lands rich with resources and untold wonders, they navigated treacherous seas and unpredictable weather, driven by a desire to establish a haven of their own.
After many months of traversing uncharted waters, the Vikings stumbled upon a hidden fjord nestled between towering cliffs and dense forests. It was here, surrounded by natural barriers, that they found the ideal location for their new settlement. With a mix of determination, hard work, and a sprinkling of magic from their runic lore, they established the city of Knappadalr.
The city quickly grew into a bustling hub of activity, its architecture seamlessly blending the Viking aesthetic with the mystique of the new lands they had discovered. Longhouses and wooden structures lined the fjord, their intricate carvings telling tales of heroic deeds and ancient gods. The harbor brimmed with dragon-headed longships, and the sounds of metalworking and storytelling filled the air.
Ulfgar the Unyielding, ever a leader with grand ambitions, envisioned Knappadalr as not just a settlement, but a powerful trading and cultural center that bridged the old world and the new. He established a council of chieftains from various Viking clans to ensure the city's governance was rooted in unity and respect for their diverse origins.
As years passed, Knappadalr thrived. Its strategic location made it a key point for trade routes, and its reputation for courage and skill in battle made it a respected force among neighboring settlements. The city's residents, a mix of Vikings and the indigenous people they encountered, forged a unique and vibrant culture that celebrated the richness of both their heritages.
However, like all tales of adventure, the city's story took a darker turn. As rumors of Knappadalr's wealth and power spread, envious eyes turned toward the city, and factions from faraway lands set their sights on claiming its riches for themselves. One fateful night, a coalition of rivals launched a surprise attack, catching the city off guard. The Battle of the Fjord, as it came to be known, raged for days, leaving the city scarred and battered.
In the end, the defenders of Knappadalr emerged victorious, but the city lay in ruins. Ulfgar the Unyielding had fallen in battle, and the council was shattered. As the survivors picked up the pieces, they made the heart-wrenching decision to abandon their beloved city, fearing that its very existence had drawn the forces that sought to destroy it.
The Lost City of Knappadalr faded into the annals of history, becoming a legend of a time when Vikings dared to explore the unknown and build a civilization that defied the odds. Today, adventurers and treasure seekers scour the fjords in search of its remnants, drawn by the promise of untold riches and the echoes of a civilization that once dared to dream of greatness in a distant land.</v>
      </c>
      <c r="C102" s="2" t="str">
        <f>IFERROR(__xludf.DUMMYFUNCTION("""COMPUTED_VALUE"""),"Land of Spira")</f>
        <v>Land of Spira</v>
      </c>
      <c r="D102" s="2"/>
      <c r="E102" s="16">
        <f>IFERROR(__xludf.DUMMYFUNCTION("""COMPUTED_VALUE"""),1.0E9)</f>
        <v>1000000000</v>
      </c>
      <c r="F102" s="2" t="str">
        <f>IFERROR(__xludf.DUMMYFUNCTION("""COMPUTED_VALUE"""),"Gilder")</f>
        <v>Gilder</v>
      </c>
      <c r="G102" s="2"/>
      <c r="H102" s="2"/>
      <c r="I102" s="2"/>
      <c r="J102" s="2"/>
      <c r="K102" s="2"/>
      <c r="L102" s="2"/>
      <c r="M102" s="2"/>
      <c r="N102" s="2"/>
      <c r="O102" s="2"/>
      <c r="P102" s="2"/>
      <c r="Q102" s="2"/>
      <c r="R102" s="2"/>
      <c r="S102" s="2"/>
      <c r="T102" s="2"/>
      <c r="U102" s="2"/>
      <c r="V102" s="2"/>
      <c r="W102" s="2"/>
      <c r="X102" s="2"/>
      <c r="Y102" s="2"/>
      <c r="Z102" s="2"/>
    </row>
    <row r="103">
      <c r="A103" s="2" t="str">
        <f>IFERROR(__xludf.DUMMYFUNCTION("""COMPUTED_VALUE"""),"Paradise Island")</f>
        <v>Paradise Island</v>
      </c>
      <c r="B103" s="2" t="str">
        <f>IFERROR(__xludf.DUMMYFUNCTION("""COMPUTED_VALUE"""),"In the ancient times when the world was still in its infancy, the gods of creation and nature joined their divine forces to bring forth a realm of unparalleled beauty and wonder known as Paradise Island. The gods' intentions were pure—to create a sanctuar"&amp;"y where mortal beings could experience the harmonious coexistence of nature and magic.
The island itself was a masterpiece of divine craftsmanship. Lush, vibrant landscapes sprawled across its expanse, each corner teeming with life that seemed to emanate"&amp;" from the very soul of the world. Towering trees, iridescent flora, and crystal-clear rivers painted a landscape so breathtaking that even the gods themselves found solace in its serenity.
At the heart of Paradise Island stood the Celestial Nexus, a colo"&amp;"ssal tree that served as the conduit between the mortal realm and the divine. Its roots delved deep into the earth, drawing sustenance from the very essence of creation, while its branches extended high into the heavens, touching the realm of the gods. Th"&amp;"e Celestial Nexus was a symbol of the island's magical balance, a beacon that bridged the mortal and the divine.
The island quickly became a haven for creatures of all kinds, both mortal and magical. Sentient beasts roamed freely, their lives intertwined"&amp;" with the intricate tapestry of the island's magic. The creatures of the island exuded an aura of enchantment, their very existence an expression of the gods' creative powers.
Mortal beings soon discovered the way to Paradise Island, drawn by legends of "&amp;"its unparalleled beauty and the promise of a life infused with magic. The island's inhabitants, guided by their deep connection to nature, embraced the newcomers, teaching them the ways of the land and the delicate balance that sustained it. Mortals were "&amp;"granted the gift of harnessing the island's magic, using it to heal, protect, and flourish.
For centuries, Paradise Island thrived as a sanctuary of unspoiled beauty and harmonious coexistence. Mortals and magical beings lived side by side, forging bonds"&amp;" of friendship and learning from each other. The island's magic allowed the mortals to live longer, healthier lives, and their connection to nature's energy deepened their understanding of the world's intricate web.
However, like all things of beauty, Pa"&amp;"radise Island's idyllic existence drew the attention of darker forces. A power-hungry sorcerer named Xaraxis sought to claim the island's magic for his own. Xaraxis, consumed by his ambition, unleashed forbidden spells that disrupted the balance of magic "&amp;"on the island. The Celestial Nexus, once a symbol of harmony, began to wither, its branches losing their glow, and its roots sapping the life force from the land.
A battle of epic proportions unfolded as the island's defenders, both mortal and magical, r"&amp;"allied against Xaraxis and his dark minions. The battle culminated in a cataclysmic clash, where the forces of light and darkness clashed in a maelstrom of magic and power. In the end, Xaraxis was defeated, but the cost was immense—the island's delicate e"&amp;"quilibrium was shattered.
The Celestial Nexus, weakened by the battle, emitted a final pulse of magic that enveloped the island in a shroud of energy. As a result, the island was isolated from the rest of the world, becoming a realm of its own, existing "&amp;"between reality and the ethereal. Time flowed differently on Paradise Island, and its inhabitants found themselves in a timeless pocket of existence.
Today, Paradise Island stands as a realm of untold magic and beauty, a sanctuary where the echoes of cre"&amp;"ation and the memories of a harmonious past still linger. Adventurers and seekers of arcane knowledge journey to the island in search of its hidden secrets, hoping to restore the Celestial Nexus and rekindle the island's lost harmony. The island's enchant"&amp;"ments remain, waiting to be rediscovered by those who dare to walk its shores and rekindle the legacy of its creation.")</f>
        <v>In the ancient times when the world was still in its infancy, the gods of creation and nature joined their divine forces to bring forth a realm of unparalleled beauty and wonder known as Paradise Island. The gods' intentions were pure—to create a sanctuary where mortal beings could experience the harmonious coexistence of nature and magic.
The island itself was a masterpiece of divine craftsmanship. Lush, vibrant landscapes sprawled across its expanse, each corner teeming with life that seemed to emanate from the very soul of the world. Towering trees, iridescent flora, and crystal-clear rivers painted a landscape so breathtaking that even the gods themselves found solace in its serenity.
At the heart of Paradise Island stood the Celestial Nexus, a colossal tree that served as the conduit between the mortal realm and the divine. Its roots delved deep into the earth, drawing sustenance from the very essence of creation, while its branches extended high into the heavens, touching the realm of the gods. The Celestial Nexus was a symbol of the island's magical balance, a beacon that bridged the mortal and the divine.
The island quickly became a haven for creatures of all kinds, both mortal and magical. Sentient beasts roamed freely, their lives intertwined with the intricate tapestry of the island's magic. The creatures of the island exuded an aura of enchantment, their very existence an expression of the gods' creative powers.
Mortal beings soon discovered the way to Paradise Island, drawn by legends of its unparalleled beauty and the promise of a life infused with magic. The island's inhabitants, guided by their deep connection to nature, embraced the newcomers, teaching them the ways of the land and the delicate balance that sustained it. Mortals were granted the gift of harnessing the island's magic, using it to heal, protect, and flourish.
For centuries, Paradise Island thrived as a sanctuary of unspoiled beauty and harmonious coexistence. Mortals and magical beings lived side by side, forging bonds of friendship and learning from each other. The island's magic allowed the mortals to live longer, healthier lives, and their connection to nature's energy deepened their understanding of the world's intricate web.
However, like all things of beauty, Paradise Island's idyllic existence drew the attention of darker forces. A power-hungry sorcerer named Xaraxis sought to claim the island's magic for his own. Xaraxis, consumed by his ambition, unleashed forbidden spells that disrupted the balance of magic on the island. The Celestial Nexus, once a symbol of harmony, began to wither, its branches losing their glow, and its roots sapping the life force from the land.
A battle of epic proportions unfolded as the island's defenders, both mortal and magical, rallied against Xaraxis and his dark minions. The battle culminated in a cataclysmic clash, where the forces of light and darkness clashed in a maelstrom of magic and power. In the end, Xaraxis was defeated, but the cost was immense—the island's delicate equilibrium was shattered.
The Celestial Nexus, weakened by the battle, emitted a final pulse of magic that enveloped the island in a shroud of energy. As a result, the island was isolated from the rest of the world, becoming a realm of its own, existing between reality and the ethereal. Time flowed differently on Paradise Island, and its inhabitants found themselves in a timeless pocket of existence.
Today, Paradise Island stands as a realm of untold magic and beauty, a sanctuary where the echoes of creation and the memories of a harmonious past still linger. Adventurers and seekers of arcane knowledge journey to the island in search of its hidden secrets, hoping to restore the Celestial Nexus and rekindle the island's lost harmony. The island's enchantments remain, waiting to be rediscovered by those who dare to walk its shores and rekindle the legacy of its creation.</v>
      </c>
      <c r="C103" s="2" t="str">
        <f>IFERROR(__xludf.DUMMYFUNCTION("""COMPUTED_VALUE"""),"Land of Spira")</f>
        <v>Land of Spira</v>
      </c>
      <c r="D103" s="2"/>
      <c r="E103" s="16">
        <f>IFERROR(__xludf.DUMMYFUNCTION("""COMPUTED_VALUE"""),1.0E9)</f>
        <v>1000000000</v>
      </c>
      <c r="F103" s="2" t="str">
        <f>IFERROR(__xludf.DUMMYFUNCTION("""COMPUTED_VALUE"""),"Gilder")</f>
        <v>Gilder</v>
      </c>
      <c r="G103" s="2"/>
      <c r="H103" s="2"/>
      <c r="I103" s="2"/>
      <c r="J103" s="2"/>
      <c r="K103" s="2"/>
      <c r="L103" s="2"/>
      <c r="M103" s="2"/>
      <c r="N103" s="2"/>
      <c r="O103" s="2"/>
      <c r="P103" s="2"/>
      <c r="Q103" s="2"/>
      <c r="R103" s="2"/>
      <c r="S103" s="2"/>
      <c r="T103" s="2"/>
      <c r="U103" s="2"/>
      <c r="V103" s="2"/>
      <c r="W103" s="2"/>
      <c r="X103" s="2"/>
      <c r="Y103" s="2"/>
      <c r="Z103" s="2"/>
    </row>
    <row r="104">
      <c r="A104" s="2" t="str">
        <f>IFERROR(__xludf.DUMMYFUNCTION("""COMPUTED_VALUE"""),"Pirate's Cove")</f>
        <v>Pirate's Cove</v>
      </c>
      <c r="B104" s="2" t="str">
        <f>IFERROR(__xludf.DUMMYFUNCTION("""COMPUTED_VALUE"""),"In the vast expanse of the ocean that stretches across The Land of Spira, there exists a secluded and treacherous haven known as Pirate's Cove. This cove, hidden within a labyrinth of jagged cliffs and tempestuous waters, has earned its reputation as a sa"&amp;"nctuary for pirates and a trove of immeasurable riches. But behind the glint of gold and the shimmer of gems lies a story steeped in daring feats, betrayals, and the eternal dance between freedom and consequence.
Long ago, when seafaring was an art of br"&amp;"avery and cunning, a band of rogues known as the Corsair's Guild sought to carve their legend upon the waves. Led by the enigmatic Captain Sable, the Corsairs embarked on a daring voyage to discover a secret haven where they could plot, plunder, and bask "&amp;"in the spoils of their illicit endeavors.
Through ancient maps and whispered tales, Captain Sable and his crew navigated treacherous currents and unforgiving storms until they stumbled upon the hidden cove. Flanked by towering cliffs that seemed to stret"&amp;"ch to the heavens, the entrance to Pirate's Cove was a narrow passage, only accessible to those who knew its secrets. The Corsairs carved their way through the stone, creating a secret lair that could house their ships, their treasures, and their darkest "&amp;"ambitions.
The cove quickly became a hub of piracy, attracting swashbucklers and cutthroats from every corner of the ocean. The Corsair's Guild established a code that governed their actions, ensuring a semblance of order amidst the chaos of their lawles"&amp;"s pursuits. The cove's natural defenses—treacherous currents, hidden reefs, and unpredictable weather—guarded the pirates from unwanted attention, making it nearly impossible for outsiders to breach their sanctuary.
Over the years, Pirate's Cove grew int"&amp;"o a thriving pirate haven, a raucous den of revelry, scheming, and camaraderie. The Corsair's Guild boasted a fearsome reputation, and their name struck fear into the hearts of merchants and monarchs alike. The cove's hidden chambers and passages were lad"&amp;"en with treasures from across the seas, and the legends of Pirate's Cove spread far and wide.
However, within the very shadows that concealed the Corsairs' loot, a storm of ambition and betrayal brewed. As Captain Sable grew older, factions within the gu"&amp;"ild vied for control. Rumors of treachery and whispered alliances fanned the flames of discord, leading to a climactic clash known as the Bloody Squall—a battle that raged within the cove itself. In the end, Captain Sable was betrayed by his most trusted "&amp;"lieutenant, and the Corsair's Guild splintered.
The cove, forever marked by the Bloody Squall, remains a hub of pirate activity to this day. The Corsair's Guild, now fractured into rival factions, competes for dominance over the cove's treasures and secr"&amp;"ets. Pirates from across the ocean still seek the fabled Pirate's Cove, drawn by the allure of riches beyond imagination and the chance to carve their own legacy upon the waves.
Adventurers and buccaneers alike now dare to navigate the treacherous waters"&amp;", braving the dangers of Pirate's Cove in search of legendary treasures, lost knowledge, and the whispers of Captain Sable's hidden hoard. The cove's legends persist, a tale of freedom and ambition, of blood and gold, echoing across the tides of time and "&amp;"the mysteries of the sea.")</f>
        <v>In the vast expanse of the ocean that stretches across The Land of Spira, there exists a secluded and treacherous haven known as Pirate's Cove. This cove, hidden within a labyrinth of jagged cliffs and tempestuous waters, has earned its reputation as a sanctuary for pirates and a trove of immeasurable riches. But behind the glint of gold and the shimmer of gems lies a story steeped in daring feats, betrayals, and the eternal dance between freedom and consequence.
Long ago, when seafaring was an art of bravery and cunning, a band of rogues known as the Corsair's Guild sought to carve their legend upon the waves. Led by the enigmatic Captain Sable, the Corsairs embarked on a daring voyage to discover a secret haven where they could plot, plunder, and bask in the spoils of their illicit endeavors.
Through ancient maps and whispered tales, Captain Sable and his crew navigated treacherous currents and unforgiving storms until they stumbled upon the hidden cove. Flanked by towering cliffs that seemed to stretch to the heavens, the entrance to Pirate's Cove was a narrow passage, only accessible to those who knew its secrets. The Corsairs carved their way through the stone, creating a secret lair that could house their ships, their treasures, and their darkest ambitions.
The cove quickly became a hub of piracy, attracting swashbucklers and cutthroats from every corner of the ocean. The Corsair's Guild established a code that governed their actions, ensuring a semblance of order amidst the chaos of their lawless pursuits. The cove's natural defenses—treacherous currents, hidden reefs, and unpredictable weather—guarded the pirates from unwanted attention, making it nearly impossible for outsiders to breach their sanctuary.
Over the years, Pirate's Cove grew into a thriving pirate haven, a raucous den of revelry, scheming, and camaraderie. The Corsair's Guild boasted a fearsome reputation, and their name struck fear into the hearts of merchants and monarchs alike. The cove's hidden chambers and passages were laden with treasures from across the seas, and the legends of Pirate's Cove spread far and wide.
However, within the very shadows that concealed the Corsairs' loot, a storm of ambition and betrayal brewed. As Captain Sable grew older, factions within the guild vied for control. Rumors of treachery and whispered alliances fanned the flames of discord, leading to a climactic clash known as the Bloody Squall—a battle that raged within the cove itself. In the end, Captain Sable was betrayed by his most trusted lieutenant, and the Corsair's Guild splintered.
The cove, forever marked by the Bloody Squall, remains a hub of pirate activity to this day. The Corsair's Guild, now fractured into rival factions, competes for dominance over the cove's treasures and secrets. Pirates from across the ocean still seek the fabled Pirate's Cove, drawn by the allure of riches beyond imagination and the chance to carve their own legacy upon the waves.
Adventurers and buccaneers alike now dare to navigate the treacherous waters, braving the dangers of Pirate's Cove in search of legendary treasures, lost knowledge, and the whispers of Captain Sable's hidden hoard. The cove's legends persist, a tale of freedom and ambition, of blood and gold, echoing across the tides of time and the mysteries of the sea.</v>
      </c>
      <c r="C104" s="2" t="str">
        <f>IFERROR(__xludf.DUMMYFUNCTION("""COMPUTED_VALUE"""),"Land of Spira")</f>
        <v>Land of Spira</v>
      </c>
      <c r="D104" s="2"/>
      <c r="E104" s="16">
        <f>IFERROR(__xludf.DUMMYFUNCTION("""COMPUTED_VALUE"""),1.0E9)</f>
        <v>1000000000</v>
      </c>
      <c r="F104" s="2" t="str">
        <f>IFERROR(__xludf.DUMMYFUNCTION("""COMPUTED_VALUE"""),"Gilder")</f>
        <v>Gilder</v>
      </c>
      <c r="G104" s="2"/>
      <c r="H104" s="2"/>
      <c r="I104" s="2"/>
      <c r="J104" s="2"/>
      <c r="K104" s="2"/>
      <c r="L104" s="2"/>
      <c r="M104" s="2"/>
      <c r="N104" s="2"/>
      <c r="O104" s="2"/>
      <c r="P104" s="2"/>
      <c r="Q104" s="2"/>
      <c r="R104" s="2"/>
      <c r="S104" s="2"/>
      <c r="T104" s="2"/>
      <c r="U104" s="2"/>
      <c r="V104" s="2"/>
      <c r="W104" s="2"/>
      <c r="X104" s="2"/>
      <c r="Y104" s="2"/>
      <c r="Z104" s="2"/>
    </row>
    <row r="105">
      <c r="A105" s="2" t="str">
        <f>IFERROR(__xludf.DUMMYFUNCTION("""COMPUTED_VALUE"""),"Candy Corn Village")</f>
        <v>Candy Corn Village</v>
      </c>
      <c r="B105" s="2"/>
      <c r="C105" s="2" t="str">
        <f>IFERROR(__xludf.DUMMYFUNCTION("""COMPUTED_VALUE"""),"Halloween Kingdom")</f>
        <v>Halloween Kingdom</v>
      </c>
      <c r="D105" s="2"/>
      <c r="E105" s="16">
        <f>IFERROR(__xludf.DUMMYFUNCTION("""COMPUTED_VALUE"""),1.0E9)</f>
        <v>1000000000</v>
      </c>
      <c r="F105" s="2" t="str">
        <f>IFERROR(__xludf.DUMMYFUNCTION("""COMPUTED_VALUE"""),"Gilder")</f>
        <v>Gilder</v>
      </c>
      <c r="G105" s="2"/>
      <c r="H105" s="2"/>
      <c r="I105" s="2"/>
      <c r="J105" s="2"/>
      <c r="K105" s="2"/>
      <c r="L105" s="2"/>
      <c r="M105" s="2"/>
      <c r="N105" s="2"/>
      <c r="O105" s="2"/>
      <c r="P105" s="2"/>
      <c r="Q105" s="2"/>
      <c r="R105" s="2"/>
      <c r="S105" s="2"/>
      <c r="T105" s="2"/>
      <c r="U105" s="2"/>
      <c r="V105" s="2"/>
      <c r="W105" s="2"/>
      <c r="X105" s="2"/>
      <c r="Y105" s="2"/>
      <c r="Z105" s="2"/>
    </row>
    <row r="106">
      <c r="A106" s="2" t="str">
        <f>IFERROR(__xludf.DUMMYFUNCTION("""COMPUTED_VALUE"""),"Atlotopia")</f>
        <v>Atlotopia</v>
      </c>
      <c r="B106" s="2" t="str">
        <f>IFERROR(__xludf.DUMMYFUNCTION("""COMPUTED_VALUE"""),"Currently Not Available, Under Development")</f>
        <v>Currently Not Available, Under Development</v>
      </c>
      <c r="C106" s="2" t="str">
        <f>IFERROR(__xludf.DUMMYFUNCTION("""COMPUTED_VALUE"""),"Dragonscale Island")</f>
        <v>Dragonscale Island</v>
      </c>
      <c r="D106" s="2"/>
      <c r="E106" s="16">
        <f>IFERROR(__xludf.DUMMYFUNCTION("""COMPUTED_VALUE"""),1.0E9)</f>
        <v>1000000000</v>
      </c>
      <c r="F106" s="2" t="str">
        <f>IFERROR(__xludf.DUMMYFUNCTION("""COMPUTED_VALUE"""),"Gilder")</f>
        <v>Gilder</v>
      </c>
      <c r="G106" s="2"/>
      <c r="H106" s="2"/>
      <c r="I106" s="2"/>
      <c r="J106" s="2"/>
      <c r="K106" s="2"/>
      <c r="L106" s="2"/>
      <c r="M106" s="2"/>
      <c r="N106" s="2"/>
      <c r="O106" s="2"/>
      <c r="P106" s="2"/>
      <c r="Q106" s="2"/>
      <c r="R106" s="2"/>
      <c r="S106" s="2"/>
      <c r="T106" s="2"/>
      <c r="U106" s="2"/>
      <c r="V106" s="2"/>
      <c r="W106" s="2"/>
      <c r="X106" s="2"/>
      <c r="Y106" s="2"/>
      <c r="Z106" s="2"/>
    </row>
    <row r="107">
      <c r="A107" s="2" t="str">
        <f>IFERROR(__xludf.DUMMYFUNCTION("""COMPUTED_VALUE"""),"Thanksgiving Island")</f>
        <v>Thanksgiving Island</v>
      </c>
      <c r="B107" s="2" t="str">
        <f>IFERROR(__xludf.DUMMYFUNCTION("""COMPUTED_VALUE"""),"Home to the Turkey Hydra and Pilgrims.")</f>
        <v>Home to the Turkey Hydra and Pilgrims.</v>
      </c>
      <c r="C107" s="2" t="str">
        <f>IFERROR(__xludf.DUMMYFUNCTION("""COMPUTED_VALUE"""),"Event Hub")</f>
        <v>Event Hub</v>
      </c>
      <c r="D107" s="2"/>
      <c r="E107" s="2"/>
      <c r="F107" s="2" t="str">
        <f>IFERROR(__xludf.DUMMYFUNCTION("""COMPUTED_VALUE"""),"Gilder")</f>
        <v>Gilder</v>
      </c>
      <c r="G107" s="2"/>
      <c r="H107" s="2"/>
      <c r="I107" s="2"/>
      <c r="J107" s="2"/>
      <c r="K107" s="2"/>
      <c r="L107" s="2"/>
      <c r="M107" s="2"/>
      <c r="N107" s="2"/>
      <c r="O107" s="2"/>
      <c r="P107" s="2"/>
      <c r="Q107" s="2"/>
      <c r="R107" s="2"/>
      <c r="S107" s="2"/>
      <c r="T107" s="2"/>
      <c r="U107" s="2"/>
      <c r="V107" s="2"/>
      <c r="W107" s="2"/>
      <c r="X107" s="2"/>
      <c r="Y107" s="2"/>
      <c r="Z107" s="2"/>
    </row>
    <row r="108">
      <c r="A108" s="2" t="str">
        <f>IFERROR(__xludf.DUMMYFUNCTION("""COMPUTED_VALUE"""),"Halloween Island")</f>
        <v>Halloween Island</v>
      </c>
      <c r="B108" s="2" t="str">
        <f>IFERROR(__xludf.DUMMYFUNCTION("""COMPUTED_VALUE"""),"Home to the Haunted Creatures of Spira")</f>
        <v>Home to the Haunted Creatures of Spira</v>
      </c>
      <c r="C108" s="2" t="str">
        <f>IFERROR(__xludf.DUMMYFUNCTION("""COMPUTED_VALUE"""),"Event Hub")</f>
        <v>Event Hub</v>
      </c>
      <c r="D108" s="2"/>
      <c r="E108" s="2"/>
      <c r="F108" s="2" t="str">
        <f>IFERROR(__xludf.DUMMYFUNCTION("""COMPUTED_VALUE"""),"Gilder")</f>
        <v>Gilder</v>
      </c>
      <c r="G108" s="2"/>
      <c r="H108" s="2"/>
      <c r="I108" s="2"/>
      <c r="J108" s="2"/>
      <c r="K108" s="2"/>
      <c r="L108" s="2"/>
      <c r="M108" s="2"/>
      <c r="N108" s="2"/>
      <c r="O108" s="2"/>
      <c r="P108" s="2"/>
      <c r="Q108" s="2"/>
      <c r="R108" s="2"/>
      <c r="S108" s="2"/>
      <c r="T108" s="2"/>
      <c r="U108" s="2"/>
      <c r="V108" s="2"/>
      <c r="W108" s="2"/>
      <c r="X108" s="2"/>
      <c r="Y108" s="2"/>
      <c r="Z108" s="2"/>
    </row>
    <row r="109">
      <c r="A109" s="2" t="str">
        <f>IFERROR(__xludf.DUMMYFUNCTION("""COMPUTED_VALUE"""),"The Frozen Island")</f>
        <v>The Frozen Island</v>
      </c>
      <c r="B109" s="2" t="str">
        <f>IFERROR(__xludf.DUMMYFUNCTION("""COMPUTED_VALUE"""),"Home to the all powerful Grand Ice Mage")</f>
        <v>Home to the all powerful Grand Ice Mage</v>
      </c>
      <c r="C109" s="2" t="str">
        <f>IFERROR(__xludf.DUMMYFUNCTION("""COMPUTED_VALUE"""),"Event Hub")</f>
        <v>Event Hub</v>
      </c>
      <c r="D109" s="2"/>
      <c r="E109" s="2"/>
      <c r="F109" s="2" t="str">
        <f>IFERROR(__xludf.DUMMYFUNCTION("""COMPUTED_VALUE"""),"Gilder")</f>
        <v>Gilder</v>
      </c>
      <c r="G109" s="2"/>
      <c r="H109" s="2"/>
      <c r="I109" s="2"/>
      <c r="J109" s="2"/>
      <c r="K109" s="2"/>
      <c r="L109" s="2"/>
      <c r="M109" s="2"/>
      <c r="N109" s="2"/>
      <c r="O109" s="2"/>
      <c r="P109" s="2"/>
      <c r="Q109" s="2"/>
      <c r="R109" s="2"/>
      <c r="S109" s="2"/>
      <c r="T109" s="2"/>
      <c r="U109" s="2"/>
      <c r="V109" s="2"/>
      <c r="W109" s="2"/>
      <c r="X109" s="2"/>
      <c r="Y109" s="2"/>
      <c r="Z109" s="2"/>
    </row>
    <row r="110">
      <c r="A110" s="2" t="str">
        <f>IFERROR(__xludf.DUMMYFUNCTION("""COMPUTED_VALUE"""),"Beltane Island")</f>
        <v>Beltane Island</v>
      </c>
      <c r="B110" s="2" t="str">
        <f>IFERROR(__xludf.DUMMYFUNCTION("""COMPUTED_VALUE"""),"Home to Faerie King Midhir.")</f>
        <v>Home to Faerie King Midhir.</v>
      </c>
      <c r="C110" s="2" t="str">
        <f>IFERROR(__xludf.DUMMYFUNCTION("""COMPUTED_VALUE"""),"Event Hub")</f>
        <v>Event Hub</v>
      </c>
      <c r="D110" s="2"/>
      <c r="E110" s="2"/>
      <c r="F110" s="2" t="str">
        <f>IFERROR(__xludf.DUMMYFUNCTION("""COMPUTED_VALUE"""),"Gilder")</f>
        <v>Gilder</v>
      </c>
      <c r="G110" s="2"/>
      <c r="H110" s="2"/>
      <c r="I110" s="2"/>
      <c r="J110" s="2"/>
      <c r="K110" s="2"/>
      <c r="L110" s="2"/>
      <c r="M110" s="2"/>
      <c r="N110" s="2"/>
      <c r="O110" s="2"/>
      <c r="P110" s="2"/>
      <c r="Q110" s="2"/>
      <c r="R110" s="2"/>
      <c r="S110" s="2"/>
      <c r="T110" s="2"/>
      <c r="U110" s="2"/>
      <c r="V110" s="2"/>
      <c r="W110" s="2"/>
      <c r="X110" s="2"/>
      <c r="Y110" s="2"/>
      <c r="Z110" s="2"/>
    </row>
    <row r="111">
      <c r="A111" s="2" t="str">
        <f>IFERROR(__xludf.DUMMYFUNCTION("""COMPUTED_VALUE"""),"Lughnasadh Island")</f>
        <v>Lughnasadh Island</v>
      </c>
      <c r="B111" s="2"/>
      <c r="C111" s="2" t="str">
        <f>IFERROR(__xludf.DUMMYFUNCTION("""COMPUTED_VALUE"""),"Event Hub")</f>
        <v>Event Hub</v>
      </c>
      <c r="D111" s="2"/>
      <c r="E111" s="2"/>
      <c r="F111" s="2" t="str">
        <f>IFERROR(__xludf.DUMMYFUNCTION("""COMPUTED_VALUE"""),"Gilder")</f>
        <v>Gilder</v>
      </c>
      <c r="G111" s="2"/>
      <c r="H111" s="2"/>
      <c r="I111" s="2"/>
      <c r="J111" s="2"/>
      <c r="K111" s="2"/>
      <c r="L111" s="2"/>
      <c r="M111" s="2"/>
      <c r="N111" s="2"/>
      <c r="O111" s="2"/>
      <c r="P111" s="2"/>
      <c r="Q111" s="2"/>
      <c r="R111" s="2"/>
      <c r="S111" s="2"/>
      <c r="T111" s="2"/>
      <c r="U111" s="2"/>
      <c r="V111" s="2"/>
      <c r="W111" s="2"/>
      <c r="X111" s="2"/>
      <c r="Y111" s="2"/>
      <c r="Z111" s="2"/>
    </row>
    <row r="112">
      <c r="A112" s="2" t="str">
        <f>IFERROR(__xludf.DUMMYFUNCTION("""COMPUTED_VALUE"""),"Stormy Island")</f>
        <v>Stormy Island</v>
      </c>
      <c r="B112" s="2" t="str">
        <f>IFERROR(__xludf.DUMMYFUNCTION("""COMPUTED_VALUE"""),"Home to the Natural Disaster Boss")</f>
        <v>Home to the Natural Disaster Boss</v>
      </c>
      <c r="C112" s="2" t="str">
        <f>IFERROR(__xludf.DUMMYFUNCTION("""COMPUTED_VALUE"""),"Event Hub")</f>
        <v>Event Hub</v>
      </c>
      <c r="D112" s="2"/>
      <c r="E112" s="2"/>
      <c r="F112" s="2" t="str">
        <f>IFERROR(__xludf.DUMMYFUNCTION("""COMPUTED_VALUE"""),"Gilder")</f>
        <v>Gilder</v>
      </c>
      <c r="G112" s="2"/>
      <c r="H112" s="2"/>
      <c r="I112" s="2"/>
      <c r="J112" s="2"/>
      <c r="K112" s="2"/>
      <c r="L112" s="2"/>
      <c r="M112" s="2"/>
      <c r="N112" s="2"/>
      <c r="O112" s="2"/>
      <c r="P112" s="2"/>
      <c r="Q112" s="2"/>
      <c r="R112" s="2"/>
      <c r="S112" s="2"/>
      <c r="T112" s="2"/>
      <c r="U112" s="2"/>
      <c r="V112" s="2"/>
      <c r="W112" s="2"/>
      <c r="X112" s="2"/>
      <c r="Y112" s="2"/>
      <c r="Z112" s="2"/>
    </row>
    <row r="113">
      <c r="A113" s="2" t="str">
        <f>IFERROR(__xludf.DUMMYFUNCTION("""COMPUTED_VALUE"""),"Swampy Island")</f>
        <v>Swampy Island</v>
      </c>
      <c r="B113" s="2" t="str">
        <f>IFERROR(__xludf.DUMMYFUNCTION("""COMPUTED_VALUE"""),"Home to Diseased and Poisonous Creatures of Spira")</f>
        <v>Home to Diseased and Poisonous Creatures of Spira</v>
      </c>
      <c r="C113" s="2" t="str">
        <f>IFERROR(__xludf.DUMMYFUNCTION("""COMPUTED_VALUE"""),"Event Hub")</f>
        <v>Event Hub</v>
      </c>
      <c r="D113" s="2"/>
      <c r="E113" s="2"/>
      <c r="F113" s="2" t="str">
        <f>IFERROR(__xludf.DUMMYFUNCTION("""COMPUTED_VALUE"""),"Gilder")</f>
        <v>Gilder</v>
      </c>
      <c r="G113" s="2"/>
      <c r="H113" s="2"/>
      <c r="I113" s="2"/>
      <c r="J113" s="2"/>
      <c r="K113" s="2"/>
      <c r="L113" s="2"/>
      <c r="M113" s="2"/>
      <c r="N113" s="2"/>
      <c r="O113" s="2"/>
      <c r="P113" s="2"/>
      <c r="Q113" s="2"/>
      <c r="R113" s="2"/>
      <c r="S113" s="2"/>
      <c r="T113" s="2"/>
      <c r="U113" s="2"/>
      <c r="V113" s="2"/>
      <c r="W113" s="2"/>
      <c r="X113" s="2"/>
      <c r="Y113" s="2"/>
      <c r="Z113" s="2"/>
    </row>
    <row r="114">
      <c r="A114" s="2" t="str">
        <f>IFERROR(__xludf.DUMMYFUNCTION("""COMPUTED_VALUE"""),"Lunar New Year Island")</f>
        <v>Lunar New Year Island</v>
      </c>
      <c r="B114" s="2" t="str">
        <f>IFERROR(__xludf.DUMMYFUNCTION("""COMPUTED_VALUE"""),"An island to celebrate asian culture")</f>
        <v>An island to celebrate asian culture</v>
      </c>
      <c r="C114" s="2" t="str">
        <f>IFERROR(__xludf.DUMMYFUNCTION("""COMPUTED_VALUE"""),"Event Hub")</f>
        <v>Event Hub</v>
      </c>
      <c r="D114" s="2"/>
      <c r="E114" s="2"/>
      <c r="F114" s="2" t="str">
        <f>IFERROR(__xludf.DUMMYFUNCTION("""COMPUTED_VALUE"""),"Gilder")</f>
        <v>Gilder</v>
      </c>
      <c r="G114" s="2"/>
      <c r="H114" s="2"/>
      <c r="I114" s="2"/>
      <c r="J114" s="2"/>
      <c r="K114" s="2"/>
      <c r="L114" s="2"/>
      <c r="M114" s="2"/>
      <c r="N114" s="2"/>
      <c r="O114" s="2"/>
      <c r="P114" s="2"/>
      <c r="Q114" s="2"/>
      <c r="R114" s="2"/>
      <c r="S114" s="2"/>
      <c r="T114" s="2"/>
      <c r="U114" s="2"/>
      <c r="V114" s="2"/>
      <c r="W114" s="2"/>
      <c r="X114" s="2"/>
      <c r="Y114" s="2"/>
      <c r="Z114" s="2"/>
    </row>
    <row r="115">
      <c r="A115" s="2" t="str">
        <f>IFERROR(__xludf.DUMMYFUNCTION("""COMPUTED_VALUE"""),"Wilderness (Spira)")</f>
        <v>Wilderness (Spira)</v>
      </c>
      <c r="B115" s="2" t="str">
        <f>IFERROR(__xludf.DUMMYFUNCTION("""COMPUTED_VALUE"""),"The less notable lands of the world.")</f>
        <v>The less notable lands of the world.</v>
      </c>
      <c r="C115" s="2" t="str">
        <f>IFERROR(__xludf.DUMMYFUNCTION("""COMPUTED_VALUE"""),"Land of Spira")</f>
        <v>Land of Spira</v>
      </c>
      <c r="D115" s="2"/>
      <c r="E115" s="2"/>
      <c r="F115" s="2" t="str">
        <f>IFERROR(__xludf.DUMMYFUNCTION("""COMPUTED_VALUE"""),"Gilder")</f>
        <v>Gilder</v>
      </c>
      <c r="G115" s="2"/>
      <c r="H115" s="2"/>
      <c r="I115" s="2"/>
      <c r="J115" s="2"/>
      <c r="K115" s="2"/>
      <c r="L115" s="2"/>
      <c r="M115" s="2"/>
      <c r="N115" s="2"/>
      <c r="O115" s="2"/>
      <c r="P115" s="2"/>
      <c r="Q115" s="2"/>
      <c r="R115" s="2"/>
      <c r="S115" s="2"/>
      <c r="T115" s="2"/>
      <c r="U115" s="2"/>
      <c r="V115" s="2"/>
      <c r="W115" s="2"/>
      <c r="X115" s="2"/>
      <c r="Y115" s="2"/>
      <c r="Z115" s="2"/>
    </row>
    <row r="116">
      <c r="A116" s="2" t="str">
        <f>IFERROR(__xludf.DUMMYFUNCTION("""COMPUTED_VALUE"""),"Wilderness (DragonScale)")</f>
        <v>Wilderness (DragonScale)</v>
      </c>
      <c r="B116" s="2" t="str">
        <f>IFERROR(__xludf.DUMMYFUNCTION("""COMPUTED_VALUE"""),"The less notable lands of the world.")</f>
        <v>The less notable lands of the world.</v>
      </c>
      <c r="C116" s="2" t="str">
        <f>IFERROR(__xludf.DUMMYFUNCTION("""COMPUTED_VALUE"""),"Dragonscale Island")</f>
        <v>Dragonscale Island</v>
      </c>
      <c r="D116" s="2"/>
      <c r="E116" s="2"/>
      <c r="F116" s="2" t="str">
        <f>IFERROR(__xludf.DUMMYFUNCTION("""COMPUTED_VALUE"""),"Gilder")</f>
        <v>Gilder</v>
      </c>
      <c r="G116" s="2"/>
      <c r="H116" s="2"/>
      <c r="I116" s="2"/>
      <c r="J116" s="2"/>
      <c r="K116" s="2"/>
      <c r="L116" s="2"/>
      <c r="M116" s="2"/>
      <c r="N116" s="2"/>
      <c r="O116" s="2"/>
      <c r="P116" s="2"/>
      <c r="Q116" s="2"/>
      <c r="R116" s="2"/>
      <c r="S116" s="2"/>
      <c r="T116" s="2"/>
      <c r="U116" s="2"/>
      <c r="V116" s="2"/>
      <c r="W116" s="2"/>
      <c r="X116" s="2"/>
      <c r="Y116" s="2"/>
      <c r="Z116" s="2"/>
    </row>
    <row r="117">
      <c r="A117" s="2" t="str">
        <f>IFERROR(__xludf.DUMMYFUNCTION("""COMPUTED_VALUE"""),"Wilderness (Abstara)")</f>
        <v>Wilderness (Abstara)</v>
      </c>
      <c r="B117" s="2" t="str">
        <f>IFERROR(__xludf.DUMMYFUNCTION("""COMPUTED_VALUE"""),"The less notable lands of the world.")</f>
        <v>The less notable lands of the world.</v>
      </c>
      <c r="C117" s="2" t="str">
        <f>IFERROR(__xludf.DUMMYFUNCTION("""COMPUTED_VALUE"""),"Abstara")</f>
        <v>Abstara</v>
      </c>
      <c r="D117" s="2"/>
      <c r="E117" s="2"/>
      <c r="F117" s="2" t="str">
        <f>IFERROR(__xludf.DUMMYFUNCTION("""COMPUTED_VALUE"""),"Gilder")</f>
        <v>Gilder</v>
      </c>
      <c r="G117" s="2"/>
      <c r="H117" s="2"/>
      <c r="I117" s="2"/>
      <c r="J117" s="2"/>
      <c r="K117" s="2"/>
      <c r="L117" s="2"/>
      <c r="M117" s="2"/>
      <c r="N117" s="2"/>
      <c r="O117" s="2"/>
      <c r="P117" s="2"/>
      <c r="Q117" s="2"/>
      <c r="R117" s="2"/>
      <c r="S117" s="2"/>
      <c r="T117" s="2"/>
      <c r="U117" s="2"/>
      <c r="V117" s="2"/>
      <c r="W117" s="2"/>
      <c r="X117" s="2"/>
      <c r="Y117" s="2"/>
      <c r="Z117" s="2"/>
    </row>
    <row r="118">
      <c r="A118" s="2" t="str">
        <f>IFERROR(__xludf.DUMMYFUNCTION("""COMPUTED_VALUE"""),"Wilderness (Solreach)")</f>
        <v>Wilderness (Solreach)</v>
      </c>
      <c r="B118" s="2" t="str">
        <f>IFERROR(__xludf.DUMMYFUNCTION("""COMPUTED_VALUE"""),"The less notable lands of the world.")</f>
        <v>The less notable lands of the world.</v>
      </c>
      <c r="C118" s="2" t="str">
        <f>IFERROR(__xludf.DUMMYFUNCTION("""COMPUTED_VALUE"""),"Solreach")</f>
        <v>Solreach</v>
      </c>
      <c r="D118" s="2"/>
      <c r="E118" s="2"/>
      <c r="F118" s="2" t="str">
        <f>IFERROR(__xludf.DUMMYFUNCTION("""COMPUTED_VALUE"""),"Gilder")</f>
        <v>Gilder</v>
      </c>
      <c r="G118" s="2"/>
      <c r="H118" s="2"/>
      <c r="I118" s="2"/>
      <c r="J118" s="2"/>
      <c r="K118" s="2"/>
      <c r="L118" s="2"/>
      <c r="M118" s="2"/>
      <c r="N118" s="2"/>
      <c r="O118" s="2"/>
      <c r="P118" s="2"/>
      <c r="Q118" s="2"/>
      <c r="R118" s="2"/>
      <c r="S118" s="2"/>
      <c r="T118" s="2"/>
      <c r="U118" s="2"/>
      <c r="V118" s="2"/>
      <c r="W118" s="2"/>
      <c r="X118" s="2"/>
      <c r="Y118" s="2"/>
      <c r="Z118" s="2"/>
    </row>
    <row r="119">
      <c r="A119" s="2" t="str">
        <f>IFERROR(__xludf.DUMMYFUNCTION("""COMPUTED_VALUE"""),"Angel Wing Village")</f>
        <v>Angel Wing Village</v>
      </c>
      <c r="B119" s="2"/>
      <c r="C119" s="2" t="str">
        <f>IFERROR(__xludf.DUMMYFUNCTION("""COMPUTED_VALUE"""),"Solreach")</f>
        <v>Solreach</v>
      </c>
      <c r="D119" s="2"/>
      <c r="E119" s="2"/>
      <c r="F119" s="2" t="str">
        <f>IFERROR(__xludf.DUMMYFUNCTION("""COMPUTED_VALUE"""),"Gilder")</f>
        <v>Gilder</v>
      </c>
      <c r="G119" s="2"/>
      <c r="H119" s="2"/>
      <c r="I119" s="2"/>
      <c r="J119" s="2"/>
      <c r="K119" s="2"/>
      <c r="L119" s="2"/>
      <c r="M119" s="2"/>
      <c r="N119" s="2"/>
      <c r="O119" s="2"/>
      <c r="P119" s="2"/>
      <c r="Q119" s="2"/>
      <c r="R119" s="2"/>
      <c r="S119" s="2"/>
      <c r="T119" s="2"/>
      <c r="U119" s="2"/>
      <c r="V119" s="2"/>
      <c r="W119" s="2"/>
      <c r="X119" s="2"/>
      <c r="Y119" s="2"/>
      <c r="Z119" s="2"/>
    </row>
    <row r="120">
      <c r="A120" s="2" t="str">
        <f>IFERROR(__xludf.DUMMYFUNCTION("""COMPUTED_VALUE"""),"Atmos")</f>
        <v>Atmos</v>
      </c>
      <c r="B120" s="2"/>
      <c r="C120" s="2" t="str">
        <f>IFERROR(__xludf.DUMMYFUNCTION("""COMPUTED_VALUE"""),"Solreach")</f>
        <v>Solreach</v>
      </c>
      <c r="D120" s="2"/>
      <c r="E120" s="2"/>
      <c r="F120" s="2" t="str">
        <f>IFERROR(__xludf.DUMMYFUNCTION("""COMPUTED_VALUE"""),"Gilder")</f>
        <v>Gilder</v>
      </c>
      <c r="G120" s="2"/>
      <c r="H120" s="2"/>
      <c r="I120" s="2"/>
      <c r="J120" s="2"/>
      <c r="K120" s="2"/>
      <c r="L120" s="2"/>
      <c r="M120" s="2"/>
      <c r="N120" s="2"/>
      <c r="O120" s="2"/>
      <c r="P120" s="2"/>
      <c r="Q120" s="2"/>
      <c r="R120" s="2"/>
      <c r="S120" s="2"/>
      <c r="T120" s="2"/>
      <c r="U120" s="2"/>
      <c r="V120" s="2"/>
      <c r="W120" s="2"/>
      <c r="X120" s="2"/>
      <c r="Y120" s="2"/>
      <c r="Z120" s="2"/>
    </row>
    <row r="121">
      <c r="A121" s="2" t="str">
        <f>IFERROR(__xludf.DUMMYFUNCTION("""COMPUTED_VALUE"""),"Council Grounds")</f>
        <v>Council Grounds</v>
      </c>
      <c r="B121" s="2"/>
      <c r="C121" s="2" t="str">
        <f>IFERROR(__xludf.DUMMYFUNCTION("""COMPUTED_VALUE"""),"Solreach")</f>
        <v>Solreach</v>
      </c>
      <c r="D121" s="2"/>
      <c r="E121" s="2"/>
      <c r="F121" s="2" t="str">
        <f>IFERROR(__xludf.DUMMYFUNCTION("""COMPUTED_VALUE"""),"Gilder")</f>
        <v>Gilder</v>
      </c>
      <c r="G121" s="2"/>
      <c r="H121" s="2"/>
      <c r="I121" s="2"/>
      <c r="J121" s="2"/>
      <c r="K121" s="2"/>
      <c r="L121" s="2"/>
      <c r="M121" s="2"/>
      <c r="N121" s="2"/>
      <c r="O121" s="2"/>
      <c r="P121" s="2"/>
      <c r="Q121" s="2"/>
      <c r="R121" s="2"/>
      <c r="S121" s="2"/>
      <c r="T121" s="2"/>
      <c r="U121" s="2"/>
      <c r="V121" s="2"/>
      <c r="W121" s="2"/>
      <c r="X121" s="2"/>
      <c r="Y121" s="2"/>
      <c r="Z121" s="2"/>
    </row>
    <row r="122">
      <c r="A122" s="2" t="str">
        <f>IFERROR(__xludf.DUMMYFUNCTION("""COMPUTED_VALUE"""),"Godsville")</f>
        <v>Godsville</v>
      </c>
      <c r="B122" s="2"/>
      <c r="C122" s="2" t="str">
        <f>IFERROR(__xludf.DUMMYFUNCTION("""COMPUTED_VALUE"""),"Solreach")</f>
        <v>Solreach</v>
      </c>
      <c r="D122" s="2"/>
      <c r="E122" s="2"/>
      <c r="F122" s="2" t="str">
        <f>IFERROR(__xludf.DUMMYFUNCTION("""COMPUTED_VALUE"""),"Gilder")</f>
        <v>Gilder</v>
      </c>
      <c r="G122" s="2"/>
      <c r="H122" s="2"/>
      <c r="I122" s="2"/>
      <c r="J122" s="2"/>
      <c r="K122" s="2"/>
      <c r="L122" s="2"/>
      <c r="M122" s="2"/>
      <c r="N122" s="2"/>
      <c r="O122" s="2"/>
      <c r="P122" s="2"/>
      <c r="Q122" s="2"/>
      <c r="R122" s="2"/>
      <c r="S122" s="2"/>
      <c r="T122" s="2"/>
      <c r="U122" s="2"/>
      <c r="V122" s="2"/>
      <c r="W122" s="2"/>
      <c r="X122" s="2"/>
      <c r="Y122" s="2"/>
      <c r="Z122" s="2"/>
    </row>
    <row r="123">
      <c r="A123" s="2" t="str">
        <f>IFERROR(__xludf.DUMMYFUNCTION("""COMPUTED_VALUE"""),"Imperos")</f>
        <v>Imperos</v>
      </c>
      <c r="B123" s="2"/>
      <c r="C123" s="2" t="str">
        <f>IFERROR(__xludf.DUMMYFUNCTION("""COMPUTED_VALUE"""),"Solreach")</f>
        <v>Solreach</v>
      </c>
      <c r="D123" s="2"/>
      <c r="E123" s="2"/>
      <c r="F123" s="2" t="str">
        <f>IFERROR(__xludf.DUMMYFUNCTION("""COMPUTED_VALUE"""),"Gilder")</f>
        <v>Gilder</v>
      </c>
      <c r="G123" s="2"/>
      <c r="H123" s="2"/>
      <c r="I123" s="2"/>
      <c r="J123" s="2"/>
      <c r="K123" s="2"/>
      <c r="L123" s="2"/>
      <c r="M123" s="2"/>
      <c r="N123" s="2"/>
      <c r="O123" s="2"/>
      <c r="P123" s="2"/>
      <c r="Q123" s="2"/>
      <c r="R123" s="2"/>
      <c r="S123" s="2"/>
      <c r="T123" s="2"/>
      <c r="U123" s="2"/>
      <c r="V123" s="2"/>
      <c r="W123" s="2"/>
      <c r="X123" s="2"/>
      <c r="Y123" s="2"/>
      <c r="Z123" s="2"/>
    </row>
    <row r="124">
      <c r="A124" s="2" t="str">
        <f>IFERROR(__xludf.DUMMYFUNCTION("""COMPUTED_VALUE"""),"Lower Fortress")</f>
        <v>Lower Fortress</v>
      </c>
      <c r="B124" s="2"/>
      <c r="C124" s="2" t="str">
        <f>IFERROR(__xludf.DUMMYFUNCTION("""COMPUTED_VALUE"""),"Solreach")</f>
        <v>Solreach</v>
      </c>
      <c r="D124" s="2"/>
      <c r="E124" s="2"/>
      <c r="F124" s="2" t="str">
        <f>IFERROR(__xludf.DUMMYFUNCTION("""COMPUTED_VALUE"""),"Gilder")</f>
        <v>Gilder</v>
      </c>
      <c r="G124" s="2"/>
      <c r="H124" s="2"/>
      <c r="I124" s="2"/>
      <c r="J124" s="2"/>
      <c r="K124" s="2"/>
      <c r="L124" s="2"/>
      <c r="M124" s="2"/>
      <c r="N124" s="2"/>
      <c r="O124" s="2"/>
      <c r="P124" s="2"/>
      <c r="Q124" s="2"/>
      <c r="R124" s="2"/>
      <c r="S124" s="2"/>
      <c r="T124" s="2"/>
      <c r="U124" s="2"/>
      <c r="V124" s="2"/>
      <c r="W124" s="2"/>
      <c r="X124" s="2"/>
      <c r="Y124" s="2"/>
      <c r="Z124" s="2"/>
    </row>
    <row r="125">
      <c r="A125" s="2" t="str">
        <f>IFERROR(__xludf.DUMMYFUNCTION("""COMPUTED_VALUE"""),"Upper Fortress")</f>
        <v>Upper Fortress</v>
      </c>
      <c r="B125" s="2"/>
      <c r="C125" s="2" t="str">
        <f>IFERROR(__xludf.DUMMYFUNCTION("""COMPUTED_VALUE"""),"Solreach")</f>
        <v>Solreach</v>
      </c>
      <c r="D125" s="2"/>
      <c r="E125" s="2"/>
      <c r="F125" s="2" t="str">
        <f>IFERROR(__xludf.DUMMYFUNCTION("""COMPUTED_VALUE"""),"Gilder")</f>
        <v>Gilder</v>
      </c>
      <c r="G125" s="2"/>
      <c r="H125" s="2"/>
      <c r="I125" s="2"/>
      <c r="J125" s="2"/>
      <c r="K125" s="2"/>
      <c r="L125" s="2"/>
      <c r="M125" s="2"/>
      <c r="N125" s="2"/>
      <c r="O125" s="2"/>
      <c r="P125" s="2"/>
      <c r="Q125" s="2"/>
      <c r="R125" s="2"/>
      <c r="S125" s="2"/>
      <c r="T125" s="2"/>
      <c r="U125" s="2"/>
      <c r="V125" s="2"/>
      <c r="W125" s="2"/>
      <c r="X125" s="2"/>
      <c r="Y125" s="2"/>
      <c r="Z125" s="2"/>
    </row>
    <row r="126">
      <c r="A126" s="2" t="str">
        <f>IFERROR(__xludf.DUMMYFUNCTION("""COMPUTED_VALUE"""),"New Circos")</f>
        <v>New Circos</v>
      </c>
      <c r="B126" s="2"/>
      <c r="C126" s="2" t="str">
        <f>IFERROR(__xludf.DUMMYFUNCTION("""COMPUTED_VALUE"""),"Solreach")</f>
        <v>Solreach</v>
      </c>
      <c r="D126" s="2"/>
      <c r="E126" s="2"/>
      <c r="F126" s="2" t="str">
        <f>IFERROR(__xludf.DUMMYFUNCTION("""COMPUTED_VALUE"""),"Gilder")</f>
        <v>Gilder</v>
      </c>
      <c r="G126" s="2"/>
      <c r="H126" s="2"/>
      <c r="I126" s="2"/>
      <c r="J126" s="2"/>
      <c r="K126" s="2"/>
      <c r="L126" s="2"/>
      <c r="M126" s="2"/>
      <c r="N126" s="2"/>
      <c r="O126" s="2"/>
      <c r="P126" s="2"/>
      <c r="Q126" s="2"/>
      <c r="R126" s="2"/>
      <c r="S126" s="2"/>
      <c r="T126" s="2"/>
      <c r="U126" s="2"/>
      <c r="V126" s="2"/>
      <c r="W126" s="2"/>
      <c r="X126" s="2"/>
      <c r="Y126" s="2"/>
      <c r="Z126" s="2"/>
    </row>
    <row r="127">
      <c r="A127" s="2" t="str">
        <f>IFERROR(__xludf.DUMMYFUNCTION("""COMPUTED_VALUE"""),"Nova Volaris")</f>
        <v>Nova Volaris</v>
      </c>
      <c r="B127" s="2"/>
      <c r="C127" s="2" t="str">
        <f>IFERROR(__xludf.DUMMYFUNCTION("""COMPUTED_VALUE"""),"Solreach")</f>
        <v>Solreach</v>
      </c>
      <c r="D127" s="2"/>
      <c r="E127" s="2"/>
      <c r="F127" s="2" t="str">
        <f>IFERROR(__xludf.DUMMYFUNCTION("""COMPUTED_VALUE"""),"Gilder")</f>
        <v>Gilder</v>
      </c>
      <c r="G127" s="2"/>
      <c r="H127" s="2"/>
      <c r="I127" s="2"/>
      <c r="J127" s="2"/>
      <c r="K127" s="2"/>
      <c r="L127" s="2"/>
      <c r="M127" s="2"/>
      <c r="N127" s="2"/>
      <c r="O127" s="2"/>
      <c r="P127" s="2"/>
      <c r="Q127" s="2"/>
      <c r="R127" s="2"/>
      <c r="S127" s="2"/>
      <c r="T127" s="2"/>
      <c r="U127" s="2"/>
      <c r="V127" s="2"/>
      <c r="W127" s="2"/>
      <c r="X127" s="2"/>
      <c r="Y127" s="2"/>
      <c r="Z127" s="2"/>
    </row>
    <row r="128">
      <c r="A128" s="2" t="str">
        <f>IFERROR(__xludf.DUMMYFUNCTION("""COMPUTED_VALUE"""),"Sonus")</f>
        <v>Sonus</v>
      </c>
      <c r="B128" s="2"/>
      <c r="C128" s="2" t="str">
        <f>IFERROR(__xludf.DUMMYFUNCTION("""COMPUTED_VALUE"""),"Solreach")</f>
        <v>Solreach</v>
      </c>
      <c r="D128" s="2"/>
      <c r="E128" s="2"/>
      <c r="F128" s="2" t="str">
        <f>IFERROR(__xludf.DUMMYFUNCTION("""COMPUTED_VALUE"""),"Gilder")</f>
        <v>Gilder</v>
      </c>
      <c r="G128" s="2"/>
      <c r="H128" s="2"/>
      <c r="I128" s="2"/>
      <c r="J128" s="2"/>
      <c r="K128" s="2"/>
      <c r="L128" s="2"/>
      <c r="M128" s="2"/>
      <c r="N128" s="2"/>
      <c r="O128" s="2"/>
      <c r="P128" s="2"/>
      <c r="Q128" s="2"/>
      <c r="R128" s="2"/>
      <c r="S128" s="2"/>
      <c r="T128" s="2"/>
      <c r="U128" s="2"/>
      <c r="V128" s="2"/>
      <c r="W128" s="2"/>
      <c r="X128" s="2"/>
      <c r="Y128" s="2"/>
      <c r="Z128" s="2"/>
    </row>
    <row r="129">
      <c r="A129" s="2" t="str">
        <f>IFERROR(__xludf.DUMMYFUNCTION("""COMPUTED_VALUE"""),"The City of Cetheoth")</f>
        <v>The City of Cetheoth</v>
      </c>
      <c r="B129" s="2"/>
      <c r="C129" s="2" t="str">
        <f>IFERROR(__xludf.DUMMYFUNCTION("""COMPUTED_VALUE"""),"Solreach")</f>
        <v>Solreach</v>
      </c>
      <c r="D129" s="2"/>
      <c r="E129" s="2"/>
      <c r="F129" s="2" t="str">
        <f>IFERROR(__xludf.DUMMYFUNCTION("""COMPUTED_VALUE"""),"Gilder")</f>
        <v>Gilder</v>
      </c>
      <c r="G129" s="2"/>
      <c r="H129" s="2"/>
      <c r="I129" s="2"/>
      <c r="J129" s="2"/>
      <c r="K129" s="2"/>
      <c r="L129" s="2"/>
      <c r="M129" s="2"/>
      <c r="N129" s="2"/>
      <c r="O129" s="2"/>
      <c r="P129" s="2"/>
      <c r="Q129" s="2"/>
      <c r="R129" s="2"/>
      <c r="S129" s="2"/>
      <c r="T129" s="2"/>
      <c r="U129" s="2"/>
      <c r="V129" s="2"/>
      <c r="W129" s="2"/>
      <c r="X129" s="2"/>
      <c r="Y129" s="2"/>
      <c r="Z129" s="2"/>
    </row>
    <row r="130">
      <c r="A130" s="2" t="str">
        <f>IFERROR(__xludf.DUMMYFUNCTION("""COMPUTED_VALUE"""),"The City of Ebain")</f>
        <v>The City of Ebain</v>
      </c>
      <c r="B130" s="2"/>
      <c r="C130" s="2" t="str">
        <f>IFERROR(__xludf.DUMMYFUNCTION("""COMPUTED_VALUE"""),"Solreach")</f>
        <v>Solreach</v>
      </c>
      <c r="D130" s="2"/>
      <c r="E130" s="2"/>
      <c r="F130" s="2" t="str">
        <f>IFERROR(__xludf.DUMMYFUNCTION("""COMPUTED_VALUE"""),"Gilder")</f>
        <v>Gilder</v>
      </c>
      <c r="G130" s="2"/>
      <c r="H130" s="2"/>
      <c r="I130" s="2"/>
      <c r="J130" s="2"/>
      <c r="K130" s="2"/>
      <c r="L130" s="2"/>
      <c r="M130" s="2"/>
      <c r="N130" s="2"/>
      <c r="O130" s="2"/>
      <c r="P130" s="2"/>
      <c r="Q130" s="2"/>
      <c r="R130" s="2"/>
      <c r="S130" s="2"/>
      <c r="T130" s="2"/>
      <c r="U130" s="2"/>
      <c r="V130" s="2"/>
      <c r="W130" s="2"/>
      <c r="X130" s="2"/>
      <c r="Y130" s="2"/>
      <c r="Z130" s="2"/>
    </row>
    <row r="131">
      <c r="A131" s="2" t="str">
        <f>IFERROR(__xludf.DUMMYFUNCTION("""COMPUTED_VALUE"""),"The City of Nonnaih")</f>
        <v>The City of Nonnaih</v>
      </c>
      <c r="B131" s="2"/>
      <c r="C131" s="2" t="str">
        <f>IFERROR(__xludf.DUMMYFUNCTION("""COMPUTED_VALUE"""),"Solreach")</f>
        <v>Solreach</v>
      </c>
      <c r="D131" s="2"/>
      <c r="E131" s="2"/>
      <c r="F131" s="2" t="str">
        <f>IFERROR(__xludf.DUMMYFUNCTION("""COMPUTED_VALUE"""),"Gilder")</f>
        <v>Gilder</v>
      </c>
      <c r="G131" s="2"/>
      <c r="H131" s="2"/>
      <c r="I131" s="2"/>
      <c r="J131" s="2"/>
      <c r="K131" s="2"/>
      <c r="L131" s="2"/>
      <c r="M131" s="2"/>
      <c r="N131" s="2"/>
      <c r="O131" s="2"/>
      <c r="P131" s="2"/>
      <c r="Q131" s="2"/>
      <c r="R131" s="2"/>
      <c r="S131" s="2"/>
      <c r="T131" s="2"/>
      <c r="U131" s="2"/>
      <c r="V131" s="2"/>
      <c r="W131" s="2"/>
      <c r="X131" s="2"/>
      <c r="Y131" s="2"/>
      <c r="Z131" s="2"/>
    </row>
    <row r="132">
      <c r="A132" s="2" t="str">
        <f>IFERROR(__xludf.DUMMYFUNCTION("""COMPUTED_VALUE"""),"The City of Sheopria")</f>
        <v>The City of Sheopria</v>
      </c>
      <c r="B132" s="2"/>
      <c r="C132" s="2" t="str">
        <f>IFERROR(__xludf.DUMMYFUNCTION("""COMPUTED_VALUE"""),"Solreach")</f>
        <v>Solreach</v>
      </c>
      <c r="D132" s="2"/>
      <c r="E132" s="2"/>
      <c r="F132" s="2" t="str">
        <f>IFERROR(__xludf.DUMMYFUNCTION("""COMPUTED_VALUE"""),"Gilder")</f>
        <v>Gilder</v>
      </c>
      <c r="G132" s="2"/>
      <c r="H132" s="2"/>
      <c r="I132" s="2"/>
      <c r="J132" s="2"/>
      <c r="K132" s="2"/>
      <c r="L132" s="2"/>
      <c r="M132" s="2"/>
      <c r="N132" s="2"/>
      <c r="O132" s="2"/>
      <c r="P132" s="2"/>
      <c r="Q132" s="2"/>
      <c r="R132" s="2"/>
      <c r="S132" s="2"/>
      <c r="T132" s="2"/>
      <c r="U132" s="2"/>
      <c r="V132" s="2"/>
      <c r="W132" s="2"/>
      <c r="X132" s="2"/>
      <c r="Y132" s="2"/>
      <c r="Z132" s="2"/>
    </row>
    <row r="133">
      <c r="A133" s="2" t="str">
        <f>IFERROR(__xludf.DUMMYFUNCTION("""COMPUTED_VALUE"""),"Ventis")</f>
        <v>Ventis</v>
      </c>
      <c r="B133" s="2"/>
      <c r="C133" s="2" t="str">
        <f>IFERROR(__xludf.DUMMYFUNCTION("""COMPUTED_VALUE"""),"Solreach")</f>
        <v>Solreach</v>
      </c>
      <c r="D133" s="2"/>
      <c r="E133" s="2"/>
      <c r="F133" s="2" t="str">
        <f>IFERROR(__xludf.DUMMYFUNCTION("""COMPUTED_VALUE"""),"Gilder")</f>
        <v>Gilder</v>
      </c>
      <c r="G133" s="2"/>
      <c r="H133" s="2"/>
      <c r="I133" s="2"/>
      <c r="J133" s="2"/>
      <c r="K133" s="2"/>
      <c r="L133" s="2"/>
      <c r="M133" s="2"/>
      <c r="N133" s="2"/>
      <c r="O133" s="2"/>
      <c r="P133" s="2"/>
      <c r="Q133" s="2"/>
      <c r="R133" s="2"/>
      <c r="S133" s="2"/>
      <c r="T133" s="2"/>
      <c r="U133" s="2"/>
      <c r="V133" s="2"/>
      <c r="W133" s="2"/>
      <c r="X133" s="2"/>
      <c r="Y133" s="2"/>
      <c r="Z133" s="2"/>
    </row>
    <row r="134">
      <c r="A134" s="2" t="str">
        <f>IFERROR(__xludf.DUMMYFUNCTION("""COMPUTED_VALUE"""),"Volance")</f>
        <v>Volance</v>
      </c>
      <c r="B134" s="2"/>
      <c r="C134" s="2" t="str">
        <f>IFERROR(__xludf.DUMMYFUNCTION("""COMPUTED_VALUE"""),"Solreach")</f>
        <v>Solreach</v>
      </c>
      <c r="D134" s="2"/>
      <c r="E134" s="2"/>
      <c r="F134" s="2" t="str">
        <f>IFERROR(__xludf.DUMMYFUNCTION("""COMPUTED_VALUE"""),"Gilder")</f>
        <v>Gilder</v>
      </c>
      <c r="G134" s="2"/>
      <c r="H134" s="2"/>
      <c r="I134" s="2"/>
      <c r="J134" s="2"/>
      <c r="K134" s="2"/>
      <c r="L134" s="2"/>
      <c r="M134" s="2"/>
      <c r="N134" s="2"/>
      <c r="O134" s="2"/>
      <c r="P134" s="2"/>
      <c r="Q134" s="2"/>
      <c r="R134" s="2"/>
      <c r="S134" s="2"/>
      <c r="T134" s="2"/>
      <c r="U134" s="2"/>
      <c r="V134" s="2"/>
      <c r="W134" s="2"/>
      <c r="X134" s="2"/>
      <c r="Y134" s="2"/>
      <c r="Z134" s="2"/>
    </row>
    <row r="135">
      <c r="A135" s="2" t="str">
        <f>IFERROR(__xludf.DUMMYFUNCTION("""COMPUTED_VALUE"""),"Easter Island")</f>
        <v>Easter Island</v>
      </c>
      <c r="B135" s="2" t="str">
        <f>IFERROR(__xludf.DUMMYFUNCTION("""COMPUTED_VALUE"""),"Home to the Easter Boss")</f>
        <v>Home to the Easter Boss</v>
      </c>
      <c r="C135" s="2" t="str">
        <f>IFERROR(__xludf.DUMMYFUNCTION("""COMPUTED_VALUE"""),"Event Hub")</f>
        <v>Event Hub</v>
      </c>
      <c r="D135" s="2"/>
      <c r="E135" s="2"/>
      <c r="F135" s="2" t="str">
        <f>IFERROR(__xludf.DUMMYFUNCTION("""COMPUTED_VALUE"""),"Gilder")</f>
        <v>Gilder</v>
      </c>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t="str">
        <f>IFERROR(__xludf.DUMMYFUNCTION("""COMPUTED_VALUE"""),"Gilder")</f>
        <v>Gilder</v>
      </c>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t="str">
        <f>IFERROR(__xludf.DUMMYFUNCTION("""COMPUTED_VALUE"""),"Gilder")</f>
        <v>Gilder</v>
      </c>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t="str">
        <f>IFERROR(__xludf.DUMMYFUNCTION("""COMPUTED_VALUE"""),"Gilder")</f>
        <v>Gilder</v>
      </c>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t="str">
        <f>IFERROR(__xludf.DUMMYFUNCTION("""COMPUTED_VALUE"""),"Gilder")</f>
        <v>Gilder</v>
      </c>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t="str">
        <f>IFERROR(__xludf.DUMMYFUNCTION("""COMPUTED_VALUE"""),"Gilder")</f>
        <v>Gilder</v>
      </c>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t="str">
        <f>IFERROR(__xludf.DUMMYFUNCTION("""COMPUTED_VALUE"""),"Gilder")</f>
        <v>Gilder</v>
      </c>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t="str">
        <f>IFERROR(__xludf.DUMMYFUNCTION("""COMPUTED_VALUE"""),"Gilder")</f>
        <v>Gilder</v>
      </c>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t="str">
        <f>IFERROR(__xludf.DUMMYFUNCTION("""COMPUTED_VALUE"""),"Gilder")</f>
        <v>Gilder</v>
      </c>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t="str">
        <f>IFERROR(__xludf.DUMMYFUNCTION("""COMPUTED_VALUE"""),"Gilder")</f>
        <v>Gilder</v>
      </c>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t="str">
        <f>IFERROR(__xludf.DUMMYFUNCTION("""COMPUTED_VALUE"""),"Gilder")</f>
        <v>Gilder</v>
      </c>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t="str">
        <f>IFERROR(__xludf.DUMMYFUNCTION("""COMPUTED_VALUE"""),"Gilder")</f>
        <v>Gilder</v>
      </c>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t="str">
        <f>IFERROR(__xludf.DUMMYFUNCTION("""COMPUTED_VALUE"""),"Gilder")</f>
        <v>Gilder</v>
      </c>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t="str">
        <f>IFERROR(__xludf.DUMMYFUNCTION("""COMPUTED_VALUE"""),"Gilder")</f>
        <v>Gilder</v>
      </c>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t="str">
        <f>IFERROR(__xludf.DUMMYFUNCTION("""COMPUTED_VALUE"""),"Gilder")</f>
        <v>Gilder</v>
      </c>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t="str">
        <f>IFERROR(__xludf.DUMMYFUNCTION("""COMPUTED_VALUE"""),"Gilder")</f>
        <v>Gilder</v>
      </c>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t="str">
        <f>IFERROR(__xludf.DUMMYFUNCTION("""COMPUTED_VALUE"""),"Gilder")</f>
        <v>Gilder</v>
      </c>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t="str">
        <f>IFERROR(__xludf.DUMMYFUNCTION("""COMPUTED_VALUE"""),"Gilder")</f>
        <v>Gilder</v>
      </c>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t="str">
        <f>IFERROR(__xludf.DUMMYFUNCTION("""COMPUTED_VALUE"""),"Gilder")</f>
        <v>Gilder</v>
      </c>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t="str">
        <f>IFERROR(__xludf.DUMMYFUNCTION("""COMPUTED_VALUE"""),"Gilder")</f>
        <v>Gilder</v>
      </c>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t="str">
        <f>IFERROR(__xludf.DUMMYFUNCTION("""COMPUTED_VALUE"""),"Gilder")</f>
        <v>Gilder</v>
      </c>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t="str">
        <f>IFERROR(__xludf.DUMMYFUNCTION("""COMPUTED_VALUE"""),"Gilder")</f>
        <v>Gilder</v>
      </c>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