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eSack" sheetId="1" r:id="rId4"/>
    <sheet state="visible" name="Mining" sheetId="2" r:id="rId5"/>
    <sheet state="visible" name="Oreinfo" sheetId="3" r:id="rId6"/>
  </sheets>
  <definedNames/>
  <calcPr/>
</workbook>
</file>

<file path=xl/sharedStrings.xml><?xml version="1.0" encoding="utf-8"?>
<sst xmlns="http://schemas.openxmlformats.org/spreadsheetml/2006/main" count="13" uniqueCount="11">
  <si>
    <t>Amount</t>
  </si>
  <si>
    <t>Ore</t>
  </si>
  <si>
    <t>Value</t>
  </si>
  <si>
    <t>Item Found</t>
  </si>
  <si>
    <t>Estimated Value of All Ores</t>
  </si>
  <si>
    <t>Texture D4:</t>
  </si>
  <si>
    <t>Rarity D8:</t>
  </si>
  <si>
    <t>Ore Mined</t>
  </si>
  <si>
    <t>Auto Gen?</t>
  </si>
  <si>
    <t>Randomize</t>
  </si>
  <si>
    <t>How many Ore?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</si>
</sst>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31.88"/>
    <col customWidth="1" min="6" max="6" width="23.13"/>
    <col customWidth="1" min="7" max="7" width="22.75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2" t="s">
        <v>4</v>
      </c>
      <c r="G1" s="2"/>
    </row>
    <row r="2">
      <c r="F2" s="3">
        <f>IFERROR(SUMPRODUCT($A$2:$A1000,$C$2:$C1000),"")</f>
        <v>0</v>
      </c>
      <c r="G2" s="4"/>
    </row>
    <row r="3">
      <c r="F3" s="5"/>
      <c r="G3" s="5"/>
    </row>
    <row r="4">
      <c r="F4" s="5"/>
      <c r="G4" s="5"/>
    </row>
    <row r="5">
      <c r="F5" s="5"/>
      <c r="G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5.75"/>
    <col customWidth="1" min="3" max="3" width="4.88"/>
    <col customWidth="1" min="4" max="4" width="6.0"/>
    <col customWidth="1" min="5" max="5" width="39.63"/>
    <col customWidth="1" min="8" max="8" width="15.38"/>
    <col hidden="1" min="18" max="26" width="12.63"/>
  </cols>
  <sheetData>
    <row r="1">
      <c r="A1" s="6" t="str">
        <f>"Ore D"&amp;COUNTA(Oreinfo!B2:B999)&amp;":"</f>
        <v>Ore D498:</v>
      </c>
      <c r="B1" s="7">
        <v>1.0</v>
      </c>
      <c r="C1" s="8">
        <f>IF($B$6,RANDBETWEEN(1,COUNTA(Oreinfo!$B$2:$B999)),"")</f>
        <v>422</v>
      </c>
      <c r="R1" s="8">
        <f>IF($B$6,RANDBETWEEN(1,COUNTA(Oreinfo!$B$2:$B999)),"")</f>
        <v>53</v>
      </c>
      <c r="S1" s="8">
        <f>IF($B$6,RANDBETWEEN(1,COUNTA(Oreinfo!$B$2:$B999)),"")</f>
        <v>180</v>
      </c>
      <c r="T1" s="8">
        <f>IF($B$6,RANDBETWEEN(1,COUNTA(Oreinfo!$B$2:$B999)),"")</f>
        <v>315</v>
      </c>
      <c r="U1" s="8">
        <f>IF($B$6,RANDBETWEEN(1,COUNTA(Oreinfo!$B$2:$B999)),"")</f>
        <v>244</v>
      </c>
      <c r="V1" s="8">
        <f>IF($B$6,RANDBETWEEN(1,COUNTA(Oreinfo!$B$2:$B999)),"")</f>
        <v>212</v>
      </c>
      <c r="W1" s="8">
        <f>IF($B$6,RANDBETWEEN(1,COUNTA(Oreinfo!$B$2:$B999)),"")</f>
        <v>319</v>
      </c>
      <c r="X1" s="8">
        <f>IF($B$6,RANDBETWEEN(1,COUNTA(Oreinfo!$B$2:$B999)),"")</f>
        <v>55</v>
      </c>
      <c r="Y1" s="8">
        <f>IF($B$6,RANDBETWEEN(1,COUNTA(Oreinfo!$B$2:$B999)),"")</f>
        <v>283</v>
      </c>
      <c r="Z1" s="8">
        <f>IF($B$6,RANDBETWEEN(1,COUNTA(Oreinfo!$B$2:$B999)),"")</f>
        <v>477</v>
      </c>
    </row>
    <row r="2">
      <c r="A2" s="6" t="s">
        <v>5</v>
      </c>
      <c r="B2" s="7">
        <v>1.0</v>
      </c>
      <c r="C2" s="8">
        <f>IF($B$6,RANDBETWEEN(1,4),"")</f>
        <v>4</v>
      </c>
      <c r="R2" s="8">
        <f t="shared" ref="R2:Z2" si="1">IF($B$6,RANDBETWEEN(1,4),"")</f>
        <v>2</v>
      </c>
      <c r="S2" s="8">
        <f t="shared" si="1"/>
        <v>1</v>
      </c>
      <c r="T2" s="8">
        <f t="shared" si="1"/>
        <v>3</v>
      </c>
      <c r="U2" s="8">
        <f t="shared" si="1"/>
        <v>2</v>
      </c>
      <c r="V2" s="8">
        <f t="shared" si="1"/>
        <v>3</v>
      </c>
      <c r="W2" s="8">
        <f t="shared" si="1"/>
        <v>4</v>
      </c>
      <c r="X2" s="8">
        <f t="shared" si="1"/>
        <v>2</v>
      </c>
      <c r="Y2" s="8">
        <f t="shared" si="1"/>
        <v>1</v>
      </c>
      <c r="Z2" s="8">
        <f t="shared" si="1"/>
        <v>1</v>
      </c>
    </row>
    <row r="3">
      <c r="A3" s="6" t="s">
        <v>6</v>
      </c>
      <c r="B3" s="7">
        <v>1.0</v>
      </c>
      <c r="C3" s="8">
        <f>IF($B$6,RANDBETWEEN(1,8),"")</f>
        <v>3</v>
      </c>
      <c r="E3" s="1" t="s">
        <v>7</v>
      </c>
      <c r="F3" s="1" t="s">
        <v>2</v>
      </c>
      <c r="H3" s="1" t="s">
        <v>3</v>
      </c>
      <c r="R3" s="8">
        <f t="shared" ref="R3:Z3" si="2">IF($B$6,RANDBETWEEN(1,8),"")</f>
        <v>4</v>
      </c>
      <c r="S3" s="8">
        <f t="shared" si="2"/>
        <v>6</v>
      </c>
      <c r="T3" s="8">
        <f t="shared" si="2"/>
        <v>3</v>
      </c>
      <c r="U3" s="8">
        <f t="shared" si="2"/>
        <v>1</v>
      </c>
      <c r="V3" s="8">
        <f t="shared" si="2"/>
        <v>5</v>
      </c>
      <c r="W3" s="8">
        <f t="shared" si="2"/>
        <v>5</v>
      </c>
      <c r="X3" s="8">
        <f t="shared" si="2"/>
        <v>8</v>
      </c>
      <c r="Y3" s="8">
        <f t="shared" si="2"/>
        <v>5</v>
      </c>
      <c r="Z3" s="8">
        <f t="shared" si="2"/>
        <v>1</v>
      </c>
    </row>
    <row r="4">
      <c r="A4" s="6" t="str">
        <f>"Item D"&amp;COUNTA(Oreinfo!$N$2:$N999)&amp;":"</f>
        <v>Item D2:</v>
      </c>
      <c r="B4" s="7">
        <v>1.0</v>
      </c>
      <c r="C4" s="8">
        <f>IF($B$6,RANDBETWEEN(1,COUNTA(Oreinfo!$N$2:$N999)),"")</f>
        <v>2</v>
      </c>
      <c r="E4" s="8" t="str">
        <f>IF($B$6,VLOOKUP($C$3,Oreinfo!$A$2:$R999,10,FALSE)&amp;" "&amp;IF($C$2=2,"",VLOOKUP($C$2,Oreinfo!$A$2:$R999,6,FALSE)&amp;" ")&amp;VLOOKUP($C$1,Oreinfo!$A$2:$R999,2,FALSE),VLOOKUP($B$3,Oreinfo!$A$2:$R999,10,FALSE)&amp;" "&amp;IF($B$2=2,"",VLOOKUP($B$2,Oreinfo!$A$2:$R999,6,FALSE)&amp;" ")&amp;VLOOKUP($B$1,Oreinfo!$A$2:$R999,2,FALSE))</f>
        <v>Uncommon Sparkling Virgin Valley Opal</v>
      </c>
      <c r="F4" s="8">
        <f>IF($B$6,VLOOKUP($C$1,Oreinfo!$A$2:$R999,3,FALSE)*VLOOKUP($C$2,Oreinfo!$A$2:$R999,7,FALSE)*VLOOKUP($C$3,Oreinfo!$A$2:$R999,11,FALSE),VLOOKUP($B$1,Oreinfo!$A$2:$R999,3,FALSE)*VLOOKUP($B$2,Oreinfo!$A$2:$R999,7,FALSE)*VLOOKUP($B$3,Oreinfo!$A$2:$R999,11,FALSE))</f>
        <v>3000</v>
      </c>
      <c r="H4" s="8" t="str">
        <f>IF($B$6,VLOOKUP($C$4,Oreinfo!$A$2:$R999,14,FALSE),VLOOKUP($B$4,Oreinfo!$A$2:$R999,14,FALSE))</f>
        <v>Crystal Ring</v>
      </c>
      <c r="R4" s="8">
        <f>IF($B$6,RANDBETWEEN(1,COUNTA(Oreinfo!$N$2:$N999)),"")</f>
        <v>1</v>
      </c>
      <c r="S4" s="8">
        <f>IF($B$6,RANDBETWEEN(1,COUNTA(Oreinfo!$N$2:$N999)),"")</f>
        <v>1</v>
      </c>
      <c r="T4" s="8">
        <f>IF($B$6,RANDBETWEEN(1,COUNTA(Oreinfo!$N$2:$N999)),"")</f>
        <v>1</v>
      </c>
      <c r="U4" s="8">
        <f>IF($B$6,RANDBETWEEN(1,COUNTA(Oreinfo!$N$2:$N999)),"")</f>
        <v>1</v>
      </c>
      <c r="V4" s="8">
        <f>IF($B$6,RANDBETWEEN(1,COUNTA(Oreinfo!$N$2:$N999)),"")</f>
        <v>2</v>
      </c>
      <c r="W4" s="8">
        <f>IF($B$6,RANDBETWEEN(1,COUNTA(Oreinfo!$N$2:$N999)),"")</f>
        <v>2</v>
      </c>
      <c r="X4" s="8">
        <f>IF($B$6,RANDBETWEEN(1,COUNTA(Oreinfo!$N$2:$N999)),"")</f>
        <v>1</v>
      </c>
      <c r="Y4" s="8">
        <f>IF($B$6,RANDBETWEEN(1,COUNTA(Oreinfo!$N$2:$N999)),"")</f>
        <v>2</v>
      </c>
      <c r="Z4" s="8">
        <f>IF($B$6,RANDBETWEEN(1,COUNTA(Oreinfo!$N$2:$N999)),"")</f>
        <v>2</v>
      </c>
    </row>
    <row r="5">
      <c r="E5" s="8" t="str">
        <f>IF(AND($B$6,$B$10&gt;1),IF($B$6,VLOOKUP($R$3,Oreinfo!$A$2:$R999,10,FALSE)&amp;" "&amp;IF($R$2=2,"",VLOOKUP($R$2,Oreinfo!$A$2:$R999,6,FALSE)&amp;" ")&amp;VLOOKUP($R$1,Oreinfo!$A$2:$R999,2,FALSE),VLOOKUP($B$3,Oreinfo!$A$2:$R999,10,FALSE)&amp;" "&amp;IF($B$2=2,"",VLOOKUP($B$2,Oreinfo!$A$2:$R999,6,FALSE)&amp;" ")&amp;VLOOKUP($B$1,Oreinfo!$A$2:$R999,2,FALSE)),"")</f>
        <v>Rare Lavender Jade</v>
      </c>
      <c r="F5" s="8">
        <f>IF(AND($B$6,$B$10&gt;1),IF($B$6,VLOOKUP($R$1,Oreinfo!$A$2:$R999,3,FALSE)*VLOOKUP($R$2,Oreinfo!$A$2:$R999,7,FALSE)*VLOOKUP($R$3,Oreinfo!$A$2:$R999,11,FALSE),VLOOKUP($B$1,Oreinfo!$A$2:$R999,3,FALSE)*VLOOKUP($B$2,Oreinfo!$A$2:$R999,7,FALSE)*VLOOKUP($B$3,Oreinfo!$A$2:$R999,11,FALSE)),"")</f>
        <v>200</v>
      </c>
      <c r="H5" s="8" t="str">
        <f>IF(AND($B$6,$B$10&gt;1),IF($B$6,VLOOKUP($R$4,Oreinfo!$A$2:$R999,14,FALSE),VLOOKUP($B$4,Oreinfo!$A$2:$R999,14,FALSE)),"")</f>
        <v>Nothing</v>
      </c>
    </row>
    <row r="6">
      <c r="A6" s="7" t="s">
        <v>8</v>
      </c>
      <c r="B6" s="7" t="b">
        <v>1</v>
      </c>
      <c r="E6" s="8" t="str">
        <f>IF(AND($B$6,$B$10&gt;2),IF($B$6,VLOOKUP($S$3,Oreinfo!$A$2:$R999,10,FALSE)&amp;" "&amp;IF($S$2=2,"",VLOOKUP($S$2,Oreinfo!$A$2:$R999,6,FALSE)&amp;" ")&amp;VLOOKUP($S$1,Oreinfo!$A$2:$R999,2,FALSE),VLOOKUP($B$3,Oreinfo!$A$2:$R999,10,FALSE)&amp;" "&amp;IF($B$2=2,"",VLOOKUP($B$2,Oreinfo!$A$2:$R999,6,FALSE)&amp;" ")&amp;VLOOKUP($B$1,Oreinfo!$A$2:$R999,2,FALSE)),"")</f>
        <v>Super Rare Shiny Dravite</v>
      </c>
      <c r="F6" s="8">
        <f>IF(AND($B$6,$B$10&gt;2),IF($B$6,VLOOKUP($S$1,Oreinfo!$A$2:$R999,3,FALSE)*VLOOKUP($S$2,Oreinfo!$A$2:$R999,7,FALSE)*VLOOKUP($S$3,Oreinfo!$A$2:$R999,11,FALSE),VLOOKUP($B$1,Oreinfo!$A$2:$R999,3,FALSE)*VLOOKUP($B$2,Oreinfo!$A$2:$R999,7,FALSE)*VLOOKUP($B$3,Oreinfo!$A$2:$R999,11,FALSE)),"")</f>
        <v>2400</v>
      </c>
      <c r="H6" s="8" t="str">
        <f>IF(AND($B$6,$B$10&gt;2),IF($B$6,VLOOKUP($S$4,Oreinfo!$A$2:$R999,14,FALSE),VLOOKUP($B$4,Oreinfo!$A$2:$R999,14,FALSE)),"")</f>
        <v>Nothing</v>
      </c>
    </row>
    <row r="7">
      <c r="E7" s="8" t="str">
        <f>IF(AND($B$6,$B$10&gt;3),IF($B$6,VLOOKUP($T$3,Oreinfo!$A$2:$R999,10,FALSE)&amp;" "&amp;IF($T$2=2,"",VLOOKUP($T$2,Oreinfo!$A$2:$R999,6,FALSE)&amp;" ")&amp;VLOOKUP($T$1,Oreinfo!$A$2:$R999,2,FALSE),VLOOKUP($B$3,Oreinfo!$A$2:$R999,10,FALSE)&amp;" "&amp;IF($B$2=2,"",VLOOKUP($B$2,Oreinfo!$A$2:$R999,6,FALSE)&amp;" ")&amp;VLOOKUP($B$1,Oreinfo!$A$2:$R999,2,FALSE)),"")</f>
        <v>Uncommon Glowing Bohemian Garnet</v>
      </c>
      <c r="F7" s="8">
        <f>IF(AND($B$6,$B$10&gt;3),IF($B$6,VLOOKUP($T$1,Oreinfo!$A$2:$R999,3,FALSE)*VLOOKUP($T$2,Oreinfo!$A$2:$R999,7,FALSE)*VLOOKUP($T$3,Oreinfo!$A$2:$R999,11,FALSE),VLOOKUP($B$1,Oreinfo!$A$2:$R999,3,FALSE)*VLOOKUP($B$2,Oreinfo!$A$2:$R999,7,FALSE)*VLOOKUP($B$3,Oreinfo!$A$2:$R999,11,FALSE)),"")</f>
        <v>3600</v>
      </c>
      <c r="H7" s="8" t="str">
        <f>IF(AND($B$6,$B$10&gt;3),IF($B$6,VLOOKUP($T$4,Oreinfo!$A$2:$R999,14,FALSE),VLOOKUP($B$4,Oreinfo!$A$2:$R999,14,FALSE)),"")</f>
        <v>Nothing</v>
      </c>
    </row>
    <row r="8">
      <c r="A8" s="7" t="s">
        <v>9</v>
      </c>
      <c r="B8" s="7" t="b">
        <v>1</v>
      </c>
      <c r="E8" s="8" t="str">
        <f>IF(AND($B$6,$B$10&gt;4),IF($B$6,VLOOKUP($U$3,Oreinfo!$A$2:$R999,10,FALSE)&amp;" "&amp;IF($U$2=2,"",VLOOKUP($U$2,Oreinfo!$A$2:$R999,6,FALSE)&amp;" ")&amp;VLOOKUP($U$1,Oreinfo!$A$2:$R999,2,FALSE),VLOOKUP($B$3,Oreinfo!$A$2:$R999,10,FALSE)&amp;" "&amp;IF($B$2=2,"",VLOOKUP($B$2,Oreinfo!$A$2:$R999,6,FALSE)&amp;" ")&amp;VLOOKUP($B$1,Oreinfo!$A$2:$R999,2,FALSE)),"")</f>
        <v>Very Common Fancy Sapphire</v>
      </c>
      <c r="F8" s="8">
        <f>IF(AND($B$6,$B$10&gt;4),IF($B$6,VLOOKUP($U$1,Oreinfo!$A$2:$R999,3,FALSE)*VLOOKUP($U$2,Oreinfo!$A$2:$R999,7,FALSE)*VLOOKUP($U$3,Oreinfo!$A$2:$R999,11,FALSE),VLOOKUP($B$1,Oreinfo!$A$2:$R999,3,FALSE)*VLOOKUP($B$2,Oreinfo!$A$2:$R999,7,FALSE)*VLOOKUP($B$3,Oreinfo!$A$2:$R999,11,FALSE)),"")</f>
        <v>150</v>
      </c>
      <c r="H8" s="8" t="str">
        <f>IF(AND($B$6,$B$10&gt;4),IF($B$6,VLOOKUP($U$4,Oreinfo!$A$2:$R999,14,FALSE),VLOOKUP($B$4,Oreinfo!$A$2:$R999,14,FALSE)),"")</f>
        <v>Nothing</v>
      </c>
    </row>
    <row r="9">
      <c r="E9" s="8" t="str">
        <f>IF(AND($B$6,$B$10&gt;5),IF($B$6,VLOOKUP($V$3,Oreinfo!$A$2:$R999,10,FALSE)&amp;" "&amp;IF($V$2=2,"",VLOOKUP($V$2,Oreinfo!$A$2:$R999,6,FALSE)&amp;" ")&amp;VLOOKUP($V$1,Oreinfo!$A$2:$R999,2,FALSE),VLOOKUP($B$3,Oreinfo!$A$2:$R999,10,FALSE)&amp;" "&amp;IF($B$2=2,"",VLOOKUP($B$2,Oreinfo!$A$2:$R999,6,FALSE)&amp;" ")&amp;VLOOKUP($B$1,Oreinfo!$A$2:$R999,2,FALSE)),"")</f>
        <v>Very Rare Glowing Emeraldite</v>
      </c>
      <c r="F9" s="8">
        <f>IF(AND($B$6,$B$10&gt;5),IF($B$6,VLOOKUP($V$1,Oreinfo!$A$2:$R999,3,FALSE)*VLOOKUP($V$2,Oreinfo!$A$2:$R999,7,FALSE)*VLOOKUP($V$3,Oreinfo!$A$2:$R999,11,FALSE),VLOOKUP($B$1,Oreinfo!$A$2:$R999,3,FALSE)*VLOOKUP($B$2,Oreinfo!$A$2:$R999,7,FALSE)*VLOOKUP($B$3,Oreinfo!$A$2:$R999,11,FALSE)),"")</f>
        <v>7200</v>
      </c>
      <c r="H9" s="8" t="str">
        <f>IF(AND($B$6,$B$10&gt;5),IF($B$6,VLOOKUP($V$4,Oreinfo!$A$2:$R999,14,FALSE),VLOOKUP($B$4,Oreinfo!$A$2:$R999,14,FALSE)),"")</f>
        <v>Crystal Ring</v>
      </c>
    </row>
    <row r="10">
      <c r="A10" s="7" t="s">
        <v>10</v>
      </c>
      <c r="B10" s="7">
        <v>10.0</v>
      </c>
      <c r="E10" s="8" t="str">
        <f>IF(AND($B$6,$B$10&gt;6),IF($B$6,VLOOKUP($W$3,Oreinfo!$A$2:$R999,10,FALSE)&amp;" "&amp;IF($W$2=2,"",VLOOKUP($W$2,Oreinfo!$A$2:$R999,6,FALSE)&amp;" ")&amp;VLOOKUP($W$1,Oreinfo!$A$2:$R999,2,FALSE),VLOOKUP($B$3,Oreinfo!$A$2:$R999,10,FALSE)&amp;" "&amp;IF($B$2=2,"",VLOOKUP($B$2,Oreinfo!$A$2:$R999,6,FALSE)&amp;" ")&amp;VLOOKUP($B$1,Oreinfo!$A$2:$R999,2,FALSE)),"")</f>
        <v>Very Rare Sparkling Bohemian Ruby</v>
      </c>
      <c r="F10" s="8">
        <f>IF(AND($B$6,$B$10&gt;6),IF($B$6,VLOOKUP($W$1,Oreinfo!$A$2:$R999,3,FALSE)*VLOOKUP($W$2,Oreinfo!$A$2:$R999,7,FALSE)*VLOOKUP($W$3,Oreinfo!$A$2:$R999,11,FALSE),VLOOKUP($B$1,Oreinfo!$A$2:$R999,3,FALSE)*VLOOKUP($B$2,Oreinfo!$A$2:$R999,7,FALSE)*VLOOKUP($B$3,Oreinfo!$A$2:$R999,11,FALSE)),"")</f>
        <v>6400</v>
      </c>
      <c r="H10" s="8" t="str">
        <f>IF(AND($B$6,$B$10&gt;6),IF($B$6,VLOOKUP($W$4,Oreinfo!$A$2:$R999,14,FALSE),VLOOKUP($B$4,Oreinfo!$A$2:$R999,14,FALSE)),"")</f>
        <v>Crystal Ring</v>
      </c>
    </row>
    <row r="11">
      <c r="E11" s="8" t="str">
        <f>IF(AND($B$6,$B$10&gt;7),IF($B$6,VLOOKUP($X$3,Oreinfo!$A$2:$R999,10,FALSE)&amp;" "&amp;IF($X$2=2,"",VLOOKUP($X$2,Oreinfo!$A$2:$R999,6,FALSE)&amp;" ")&amp;VLOOKUP($X$1,Oreinfo!$A$2:$R999,2,FALSE),VLOOKUP($B$3,Oreinfo!$A$2:$R999,10,FALSE)&amp;" "&amp;IF($B$2=2,"",VLOOKUP($B$2,Oreinfo!$A$2:$R999,6,FALSE)&amp;" ")&amp;VLOOKUP($B$1,Oreinfo!$A$2:$R999,2,FALSE)),"")</f>
        <v>Mythical Alaska Black Diamond</v>
      </c>
      <c r="F11" s="8">
        <f>IF(AND($B$6,$B$10&gt;7),IF($B$6,VLOOKUP($X$1,Oreinfo!$A$2:$R999,3,FALSE)*VLOOKUP($X$2,Oreinfo!$A$2:$R999,7,FALSE)*VLOOKUP($X$3,Oreinfo!$A$2:$R999,11,FALSE),VLOOKUP($B$1,Oreinfo!$A$2:$R999,3,FALSE)*VLOOKUP($B$2,Oreinfo!$A$2:$R999,7,FALSE)*VLOOKUP($B$3,Oreinfo!$A$2:$R999,11,FALSE)),"")</f>
        <v>1000</v>
      </c>
      <c r="H11" s="8" t="str">
        <f>IF(AND($B$6,$B$10&gt;7),IF($B$6,VLOOKUP($X$4,Oreinfo!$A$2:$R999,14,FALSE),VLOOKUP($B$4,Oreinfo!$A$2:$R999,14,FALSE)),"")</f>
        <v>Nothing</v>
      </c>
    </row>
    <row r="12">
      <c r="E12" s="8" t="str">
        <f>IF(AND($B$6,$B$10&gt;8),IF($B$6,VLOOKUP($Y$3,Oreinfo!$A$2:$R999,10,FALSE)&amp;" "&amp;IF($Y$2=2,"",VLOOKUP($Y$2,Oreinfo!$A$2:$R999,6,FALSE)&amp;" ")&amp;VLOOKUP($Y$1,Oreinfo!$A$2:$R999,2,FALSE),VLOOKUP($B$3,Oreinfo!$A$2:$R999,10,FALSE)&amp;" "&amp;IF($B$2=2,"",VLOOKUP($B$2,Oreinfo!$A$2:$R999,6,FALSE)&amp;" ")&amp;VLOOKUP($B$1,Oreinfo!$A$2:$R999,2,FALSE)),"")</f>
        <v>Very Rare Shiny Blue Kunzite</v>
      </c>
      <c r="F12" s="8">
        <f>IF(AND($B$6,$B$10&gt;8),IF($B$6,VLOOKUP($Y$1,Oreinfo!$A$2:$R999,3,FALSE)*VLOOKUP($Y$2,Oreinfo!$A$2:$R999,7,FALSE)*VLOOKUP($Y$3,Oreinfo!$A$2:$R999,11,FALSE),VLOOKUP($B$1,Oreinfo!$A$2:$R999,3,FALSE)*VLOOKUP($B$2,Oreinfo!$A$2:$R999,7,FALSE)*VLOOKUP($B$3,Oreinfo!$A$2:$R999,11,FALSE)),"")</f>
        <v>2400</v>
      </c>
      <c r="H12" s="8" t="str">
        <f>IF(AND($B$6,$B$10&gt;8),IF($B$6,VLOOKUP($Y$4,Oreinfo!$A$2:$R999,14,FALSE),VLOOKUP($B$4,Oreinfo!$A$2:$R999,14,FALSE)),"")</f>
        <v>Crystal Ring</v>
      </c>
    </row>
    <row r="13">
      <c r="E13" s="8" t="str">
        <f>IF(AND($B$6,$B$10&gt;9),IF($B$6,VLOOKUP($Z$3,Oreinfo!$A$2:$R999,10,FALSE)&amp;" "&amp;IF($Z$2=2,"",VLOOKUP($Z$2,Oreinfo!$A$2:$R999,6,FALSE)&amp;" ")&amp;VLOOKUP($Z$1,Oreinfo!$A$2:$R999,2,FALSE),VLOOKUP($B$3,Oreinfo!$A$2:$R999,10,FALSE)&amp;" "&amp;IF($B$2=2,"",VLOOKUP($B$2,Oreinfo!$A$2:$R999,6,FALSE)&amp;" ")&amp;VLOOKUP($B$1,Oreinfo!$A$2:$R999,2,FALSE)),"")</f>
        <v>Very Common Shiny Rhodolite</v>
      </c>
      <c r="F13" s="8">
        <f>IF(AND($B$6,$B$10&gt;9),IF($B$6,VLOOKUP($Z$1,Oreinfo!$A$2:$R999,3,FALSE)*VLOOKUP($Z$2,Oreinfo!$A$2:$R999,7,FALSE)*VLOOKUP($Z$3,Oreinfo!$A$2:$R999,11,FALSE),VLOOKUP($B$1,Oreinfo!$A$2:$R999,3,FALSE)*VLOOKUP($B$2,Oreinfo!$A$2:$R999,7,FALSE)*VLOOKUP($B$3,Oreinfo!$A$2:$R999,11,FALSE)),"")</f>
        <v>500</v>
      </c>
      <c r="H13" s="8" t="str">
        <f>IF(AND($B$6,$B$10&gt;9),IF($B$6,VLOOKUP($Z$4,Oreinfo!$A$2:$R999,14,FALSE),VLOOKUP($B$4,Oreinfo!$A$2:$R999,14,FALSE)),"")</f>
        <v>Crystal Ring</v>
      </c>
    </row>
  </sheetData>
  <dataValidations>
    <dataValidation type="decimal" allowBlank="1" showDropDown="1" showErrorMessage="1" sqref="B1 B4">
      <formula1>1.0</formula1>
      <formula2>20.0</formula2>
    </dataValidation>
    <dataValidation type="decimal" allowBlank="1" showDropDown="1" showErrorMessage="1" sqref="B2">
      <formula1>1.0</formula1>
      <formula2>4.0</formula2>
    </dataValidation>
    <dataValidation type="list" allowBlank="1" showErrorMessage="1" sqref="B10">
      <formula1>"1,2,3,4,5,6,7,8,9,10"</formula1>
    </dataValidation>
    <dataValidation type="decimal" allowBlank="1" showDropDown="1" showErrorMessage="1" sqref="B3">
      <formula1>1.0</formula1>
      <formula2>8.0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IFERROR(__xludf.DUMMYFUNCTION("IMPORTRANGE(""https://docs.google.com/spreadsheets/d/1HXoAI5UG3zq1UHqU5n7fPdbQk93qOha2VQb1r7iRi1o"",""Oreinfo!A:AO"")"),"Number")</f>
        <v>Number</v>
      </c>
      <c r="B1" s="1" t="str">
        <f>IFERROR(__xludf.DUMMYFUNCTION("""COMPUTED_VALUE"""),"Ore")</f>
        <v>Ore</v>
      </c>
      <c r="C1" s="1" t="str">
        <f>IFERROR(__xludf.DUMMYFUNCTION("""COMPUTED_VALUE"""),"Price")</f>
        <v>Price</v>
      </c>
      <c r="D1" s="9"/>
      <c r="E1" s="9"/>
      <c r="F1" s="1" t="str">
        <f>IFERROR(__xludf.DUMMYFUNCTION("""COMPUTED_VALUE"""),"Texture")</f>
        <v>Texture</v>
      </c>
      <c r="G1" s="1" t="str">
        <f>IFERROR(__xludf.DUMMYFUNCTION("""COMPUTED_VALUE"""),"Value Multiplier")</f>
        <v>Value Multiplier</v>
      </c>
      <c r="H1" s="9"/>
      <c r="I1" s="9"/>
      <c r="J1" s="1" t="str">
        <f>IFERROR(__xludf.DUMMYFUNCTION("""COMPUTED_VALUE"""),"Rarity")</f>
        <v>Rarity</v>
      </c>
      <c r="K1" s="9" t="str">
        <f>IFERROR(__xludf.DUMMYFUNCTION("""COMPUTED_VALUE"""),"Value Multiplier")</f>
        <v>Value Multiplier</v>
      </c>
      <c r="L1" s="9"/>
      <c r="M1" s="9"/>
      <c r="N1" s="1" t="str">
        <f>IFERROR(__xludf.DUMMYFUNCTION("""COMPUTED_VALUE"""),"Items")</f>
        <v>Items</v>
      </c>
      <c r="O1" s="1"/>
      <c r="P1" s="9"/>
      <c r="Q1" s="9"/>
      <c r="R1" s="1"/>
      <c r="S1" s="9"/>
      <c r="T1" s="9"/>
      <c r="U1" s="9"/>
      <c r="V1" s="9"/>
      <c r="W1" s="9"/>
      <c r="X1" s="9"/>
      <c r="Y1" s="9"/>
      <c r="Z1" s="9"/>
    </row>
    <row r="2">
      <c r="A2" s="10">
        <f>IFERROR(__xludf.DUMMYFUNCTION("""COMPUTED_VALUE"""),1.0)</f>
        <v>1</v>
      </c>
      <c r="B2" s="11" t="str">
        <f>IFERROR(__xludf.DUMMYFUNCTION("""COMPUTED_VALUE"""),"Gold")</f>
        <v>Gold</v>
      </c>
      <c r="C2" s="12">
        <f>IFERROR(__xludf.DUMMYFUNCTION("""COMPUTED_VALUE"""),100.0)</f>
        <v>100</v>
      </c>
      <c r="D2" s="8"/>
      <c r="E2" s="8"/>
      <c r="F2" s="8" t="str">
        <f>IFERROR(__xludf.DUMMYFUNCTION("""COMPUTED_VALUE"""),"Shiny")</f>
        <v>Shiny</v>
      </c>
      <c r="G2" s="8">
        <f>IFERROR(__xludf.DUMMYFUNCTION("""COMPUTED_VALUE"""),2.0)</f>
        <v>2</v>
      </c>
      <c r="H2" s="8"/>
      <c r="I2" s="8"/>
      <c r="J2" s="8" t="str">
        <f>IFERROR(__xludf.DUMMYFUNCTION("""COMPUTED_VALUE"""),"Very Common")</f>
        <v>Very Common</v>
      </c>
      <c r="K2" s="8">
        <f>IFERROR(__xludf.DUMMYFUNCTION("""COMPUTED_VALUE"""),0.5)</f>
        <v>0.5</v>
      </c>
      <c r="L2" s="8"/>
      <c r="M2" s="8"/>
      <c r="N2" s="8" t="str">
        <f>IFERROR(__xludf.DUMMYFUNCTION("""COMPUTED_VALUE"""),"Nothing")</f>
        <v>Nothing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>
        <f>IFERROR(__xludf.DUMMYFUNCTION("""COMPUTED_VALUE"""),2.0)</f>
        <v>2</v>
      </c>
      <c r="B3" s="11" t="str">
        <f>IFERROR(__xludf.DUMMYFUNCTION("""COMPUTED_VALUE"""),"Silver")</f>
        <v>Silver</v>
      </c>
      <c r="C3" s="12">
        <f>IFERROR(__xludf.DUMMYFUNCTION("""COMPUTED_VALUE"""),100.0)</f>
        <v>100</v>
      </c>
      <c r="D3" s="8"/>
      <c r="E3" s="8"/>
      <c r="F3" s="8"/>
      <c r="G3" s="8">
        <f>IFERROR(__xludf.DUMMYFUNCTION("""COMPUTED_VALUE"""),1.0)</f>
        <v>1</v>
      </c>
      <c r="H3" s="8"/>
      <c r="I3" s="8"/>
      <c r="J3" s="8" t="str">
        <f>IFERROR(__xludf.DUMMYFUNCTION("""COMPUTED_VALUE"""),"Common")</f>
        <v>Common</v>
      </c>
      <c r="K3" s="8">
        <f>IFERROR(__xludf.DUMMYFUNCTION("""COMPUTED_VALUE"""),1.0)</f>
        <v>1</v>
      </c>
      <c r="L3" s="8"/>
      <c r="M3" s="8"/>
      <c r="N3" s="8" t="str">
        <f>IFERROR(__xludf.DUMMYFUNCTION("""COMPUTED_VALUE"""),"Crystal Ring")</f>
        <v>Crystal Ring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>
        <f>IFERROR(__xludf.DUMMYFUNCTION("""COMPUTED_VALUE"""),3.0)</f>
        <v>3</v>
      </c>
      <c r="B4" s="11" t="str">
        <f>IFERROR(__xludf.DUMMYFUNCTION("""COMPUTED_VALUE"""),"Copper")</f>
        <v>Copper</v>
      </c>
      <c r="C4" s="12">
        <f>IFERROR(__xludf.DUMMYFUNCTION("""COMPUTED_VALUE"""),100.0)</f>
        <v>100</v>
      </c>
      <c r="D4" s="8"/>
      <c r="E4" s="8"/>
      <c r="F4" s="8" t="str">
        <f>IFERROR(__xludf.DUMMYFUNCTION("""COMPUTED_VALUE"""),"Glowing")</f>
        <v>Glowing</v>
      </c>
      <c r="G4" s="8">
        <f>IFERROR(__xludf.DUMMYFUNCTION("""COMPUTED_VALUE"""),6.0)</f>
        <v>6</v>
      </c>
      <c r="H4" s="8"/>
      <c r="I4" s="8"/>
      <c r="J4" s="8" t="str">
        <f>IFERROR(__xludf.DUMMYFUNCTION("""COMPUTED_VALUE"""),"Uncommon")</f>
        <v>Uncommon</v>
      </c>
      <c r="K4" s="8">
        <f>IFERROR(__xludf.DUMMYFUNCTION("""COMPUTED_VALUE"""),1.5)</f>
        <v>1.5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>
        <f>IFERROR(__xludf.DUMMYFUNCTION("""COMPUTED_VALUE"""),4.0)</f>
        <v>4</v>
      </c>
      <c r="B5" s="11" t="str">
        <f>IFERROR(__xludf.DUMMYFUNCTION("""COMPUTED_VALUE"""),"Iron")</f>
        <v>Iron</v>
      </c>
      <c r="C5" s="12">
        <f>IFERROR(__xludf.DUMMYFUNCTION("""COMPUTED_VALUE"""),100.0)</f>
        <v>100</v>
      </c>
      <c r="D5" s="8"/>
      <c r="E5" s="8"/>
      <c r="F5" s="8" t="str">
        <f>IFERROR(__xludf.DUMMYFUNCTION("""COMPUTED_VALUE"""),"Sparkling")</f>
        <v>Sparkling</v>
      </c>
      <c r="G5" s="8">
        <f>IFERROR(__xludf.DUMMYFUNCTION("""COMPUTED_VALUE"""),4.0)</f>
        <v>4</v>
      </c>
      <c r="H5" s="8"/>
      <c r="I5" s="8"/>
      <c r="J5" s="8" t="str">
        <f>IFERROR(__xludf.DUMMYFUNCTION("""COMPUTED_VALUE"""),"Rare")</f>
        <v>Rare</v>
      </c>
      <c r="K5" s="8">
        <f>IFERROR(__xludf.DUMMYFUNCTION("""COMPUTED_VALUE"""),2.0)</f>
        <v>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>
        <f>IFERROR(__xludf.DUMMYFUNCTION("""COMPUTED_VALUE"""),5.0)</f>
        <v>5</v>
      </c>
      <c r="B6" s="11" t="str">
        <f>IFERROR(__xludf.DUMMYFUNCTION("""COMPUTED_VALUE"""),"Steel")</f>
        <v>Steel</v>
      </c>
      <c r="C6" s="12">
        <f>IFERROR(__xludf.DUMMYFUNCTION("""COMPUTED_VALUE"""),100.0)</f>
        <v>100</v>
      </c>
      <c r="D6" s="8"/>
      <c r="E6" s="8"/>
      <c r="F6" s="8"/>
      <c r="G6" s="8"/>
      <c r="H6" s="8"/>
      <c r="I6" s="8"/>
      <c r="J6" s="8" t="str">
        <f>IFERROR(__xludf.DUMMYFUNCTION("""COMPUTED_VALUE"""),"Very Rare")</f>
        <v>Very Rare</v>
      </c>
      <c r="K6" s="8">
        <f>IFERROR(__xludf.DUMMYFUNCTION("""COMPUTED_VALUE"""),4.0)</f>
        <v>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>
        <f>IFERROR(__xludf.DUMMYFUNCTION("""COMPUTED_VALUE"""),6.0)</f>
        <v>6</v>
      </c>
      <c r="B7" s="11" t="str">
        <f>IFERROR(__xludf.DUMMYFUNCTION("""COMPUTED_VALUE"""),"Titanium")</f>
        <v>Titanium</v>
      </c>
      <c r="C7" s="12">
        <f>IFERROR(__xludf.DUMMYFUNCTION("""COMPUTED_VALUE"""),100.0)</f>
        <v>100</v>
      </c>
      <c r="D7" s="8"/>
      <c r="E7" s="8"/>
      <c r="F7" s="8"/>
      <c r="G7" s="8"/>
      <c r="H7" s="8"/>
      <c r="I7" s="8"/>
      <c r="J7" s="8" t="str">
        <f>IFERROR(__xludf.DUMMYFUNCTION("""COMPUTED_VALUE"""),"Super Rare")</f>
        <v>Super Rare</v>
      </c>
      <c r="K7" s="8">
        <f>IFERROR(__xludf.DUMMYFUNCTION("""COMPUTED_VALUE"""),6.0)</f>
        <v>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>
        <f>IFERROR(__xludf.DUMMYFUNCTION("""COMPUTED_VALUE"""),7.0)</f>
        <v>7</v>
      </c>
      <c r="B8" s="11" t="str">
        <f>IFERROR(__xludf.DUMMYFUNCTION("""COMPUTED_VALUE"""),"Obsidian")</f>
        <v>Obsidian</v>
      </c>
      <c r="C8" s="12">
        <f>IFERROR(__xludf.DUMMYFUNCTION("""COMPUTED_VALUE"""),100.0)</f>
        <v>100</v>
      </c>
      <c r="D8" s="8"/>
      <c r="E8" s="8"/>
      <c r="F8" s="8"/>
      <c r="G8" s="8"/>
      <c r="H8" s="8"/>
      <c r="I8" s="8"/>
      <c r="J8" s="8" t="str">
        <f>IFERROR(__xludf.DUMMYFUNCTION("""COMPUTED_VALUE"""),"Unique")</f>
        <v>Unique</v>
      </c>
      <c r="K8" s="8">
        <f>IFERROR(__xludf.DUMMYFUNCTION("""COMPUTED_VALUE"""),8.0)</f>
        <v>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>
        <f>IFERROR(__xludf.DUMMYFUNCTION("""COMPUTED_VALUE"""),8.0)</f>
        <v>8</v>
      </c>
      <c r="B9" s="11" t="str">
        <f>IFERROR(__xludf.DUMMYFUNCTION("""COMPUTED_VALUE"""),"Coal")</f>
        <v>Coal</v>
      </c>
      <c r="C9" s="12">
        <f>IFERROR(__xludf.DUMMYFUNCTION("""COMPUTED_VALUE"""),100.0)</f>
        <v>100</v>
      </c>
      <c r="D9" s="8"/>
      <c r="E9" s="8"/>
      <c r="F9" s="8"/>
      <c r="G9" s="8"/>
      <c r="H9" s="8"/>
      <c r="I9" s="8"/>
      <c r="J9" s="8" t="str">
        <f>IFERROR(__xludf.DUMMYFUNCTION("""COMPUTED_VALUE"""),"Mythical")</f>
        <v>Mythical</v>
      </c>
      <c r="K9" s="8">
        <f>IFERROR(__xludf.DUMMYFUNCTION("""COMPUTED_VALUE"""),10.0)</f>
        <v>10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0">
        <f>IFERROR(__xludf.DUMMYFUNCTION("""COMPUTED_VALUE"""),9.0)</f>
        <v>9</v>
      </c>
      <c r="B10" s="11" t="str">
        <f>IFERROR(__xludf.DUMMYFUNCTION("""COMPUTED_VALUE"""),"Sandstone")</f>
        <v>Sandstone</v>
      </c>
      <c r="C10" s="12">
        <f>IFERROR(__xludf.DUMMYFUNCTION("""COMPUTED_VALUE"""),100.0)</f>
        <v>100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0">
        <f>IFERROR(__xludf.DUMMYFUNCTION("""COMPUTED_VALUE"""),10.0)</f>
        <v>10</v>
      </c>
      <c r="B11" s="11" t="str">
        <f>IFERROR(__xludf.DUMMYFUNCTION("""COMPUTED_VALUE"""),"Clay")</f>
        <v>Clay</v>
      </c>
      <c r="C11" s="12">
        <f>IFERROR(__xludf.DUMMYFUNCTION("""COMPUTED_VALUE"""),100.0)</f>
        <v>100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>
        <f>IFERROR(__xludf.DUMMYFUNCTION("""COMPUTED_VALUE"""),11.0)</f>
        <v>11</v>
      </c>
      <c r="B12" s="11" t="str">
        <f>IFERROR(__xludf.DUMMYFUNCTION("""COMPUTED_VALUE"""),"Abalone Pearl")</f>
        <v>Abalone Pearl</v>
      </c>
      <c r="C12" s="12">
        <f>IFERROR(__xludf.DUMMYFUNCTION("""COMPUTED_VALUE"""),100.0)</f>
        <v>100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>
        <f>IFERROR(__xludf.DUMMYFUNCTION("""COMPUTED_VALUE"""),12.0)</f>
        <v>12</v>
      </c>
      <c r="B13" s="11" t="str">
        <f>IFERROR(__xludf.DUMMYFUNCTION("""COMPUTED_VALUE"""),"Chiastolite")</f>
        <v>Chiastolite</v>
      </c>
      <c r="C13" s="12">
        <f>IFERROR(__xludf.DUMMYFUNCTION("""COMPUTED_VALUE"""),100.0)</f>
        <v>100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>
        <f>IFERROR(__xludf.DUMMYFUNCTION("""COMPUTED_VALUE"""),13.0)</f>
        <v>13</v>
      </c>
      <c r="B14" s="11" t="str">
        <f>IFERROR(__xludf.DUMMYFUNCTION("""COMPUTED_VALUE"""),"Kashmir Sapphire")</f>
        <v>Kashmir Sapphire</v>
      </c>
      <c r="C14" s="12">
        <f>IFERROR(__xludf.DUMMYFUNCTION("""COMPUTED_VALUE"""),100.0)</f>
        <v>100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>
        <f>IFERROR(__xludf.DUMMYFUNCTION("""COMPUTED_VALUE"""),14.0)</f>
        <v>14</v>
      </c>
      <c r="B15" s="11" t="str">
        <f>IFERROR(__xludf.DUMMYFUNCTION("""COMPUTED_VALUE"""),"Rosaline")</f>
        <v>Rosaline</v>
      </c>
      <c r="C15" s="12">
        <f>IFERROR(__xludf.DUMMYFUNCTION("""COMPUTED_VALUE"""),100.0)</f>
        <v>100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>
        <f>IFERROR(__xludf.DUMMYFUNCTION("""COMPUTED_VALUE"""),15.0)</f>
        <v>15</v>
      </c>
      <c r="B16" s="11" t="str">
        <f>IFERROR(__xludf.DUMMYFUNCTION("""COMPUTED_VALUE"""),"Achroite")</f>
        <v>Achroite</v>
      </c>
      <c r="C16" s="12">
        <f>IFERROR(__xludf.DUMMYFUNCTION("""COMPUTED_VALUE"""),100.0)</f>
        <v>100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>
        <f>IFERROR(__xludf.DUMMYFUNCTION("""COMPUTED_VALUE"""),16.0)</f>
        <v>16</v>
      </c>
      <c r="B17" s="11" t="str">
        <f>IFERROR(__xludf.DUMMYFUNCTION("""COMPUTED_VALUE"""),"Chloromelanite")</f>
        <v>Chloromelanite</v>
      </c>
      <c r="C17" s="12">
        <f>IFERROR(__xludf.DUMMYFUNCTION("""COMPUTED_VALUE"""),100.0)</f>
        <v>100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>
        <f>IFERROR(__xludf.DUMMYFUNCTION("""COMPUTED_VALUE"""),17.0)</f>
        <v>17</v>
      </c>
      <c r="B18" s="11" t="str">
        <f>IFERROR(__xludf.DUMMYFUNCTION("""COMPUTED_VALUE"""),"Keshi Pearl")</f>
        <v>Keshi Pearl</v>
      </c>
      <c r="C18" s="12">
        <f>IFERROR(__xludf.DUMMYFUNCTION("""COMPUTED_VALUE"""),100.0)</f>
        <v>100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>
        <f>IFERROR(__xludf.DUMMYFUNCTION("""COMPUTED_VALUE"""),18.0)</f>
        <v>18</v>
      </c>
      <c r="B19" s="11" t="str">
        <f>IFERROR(__xludf.DUMMYFUNCTION("""COMPUTED_VALUE"""),"Rose Beryl")</f>
        <v>Rose Beryl</v>
      </c>
      <c r="C19" s="12">
        <f>IFERROR(__xludf.DUMMYFUNCTION("""COMPUTED_VALUE"""),100.0)</f>
        <v>100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>
        <f>IFERROR(__xludf.DUMMYFUNCTION("""COMPUTED_VALUE"""),19.0)</f>
        <v>19</v>
      </c>
      <c r="B20" s="11" t="str">
        <f>IFERROR(__xludf.DUMMYFUNCTION("""COMPUTED_VALUE"""),"Adelaide Ruby")</f>
        <v>Adelaide Ruby</v>
      </c>
      <c r="C20" s="12">
        <f>IFERROR(__xludf.DUMMYFUNCTION("""COMPUTED_VALUE"""),100.0)</f>
        <v>100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>
        <f>IFERROR(__xludf.DUMMYFUNCTION("""COMPUTED_VALUE"""),20.0)</f>
        <v>20</v>
      </c>
      <c r="B21" s="11" t="str">
        <f>IFERROR(__xludf.DUMMYFUNCTION("""COMPUTED_VALUE"""),"Chrome Chalcedony")</f>
        <v>Chrome Chalcedony</v>
      </c>
      <c r="C21" s="12">
        <f>IFERROR(__xludf.DUMMYFUNCTION("""COMPUTED_VALUE"""),100.0)</f>
        <v>100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>
        <f>IFERROR(__xludf.DUMMYFUNCTION("""COMPUTED_VALUE"""),21.0)</f>
        <v>21</v>
      </c>
      <c r="B22" s="8" t="str">
        <f>IFERROR(__xludf.DUMMYFUNCTION("""COMPUTED_VALUE"""),"Killiecrankie Diamond")</f>
        <v>Killiecrankie Diamond</v>
      </c>
      <c r="C22" s="13">
        <f>IFERROR(__xludf.DUMMYFUNCTION("""COMPUTED_VALUE"""),100.0)</f>
        <v>100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>
        <f>IFERROR(__xludf.DUMMYFUNCTION("""COMPUTED_VALUE"""),22.0)</f>
        <v>22</v>
      </c>
      <c r="B23" s="8" t="str">
        <f>IFERROR(__xludf.DUMMYFUNCTION("""COMPUTED_VALUE"""),"Rose Gold")</f>
        <v>Rose Gold</v>
      </c>
      <c r="C23" s="13">
        <f>IFERROR(__xludf.DUMMYFUNCTION("""COMPUTED_VALUE"""),100.0)</f>
        <v>100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>
        <f>IFERROR(__xludf.DUMMYFUNCTION("""COMPUTED_VALUE"""),23.0)</f>
        <v>23</v>
      </c>
      <c r="B24" s="8" t="str">
        <f>IFERROR(__xludf.DUMMYFUNCTION("""COMPUTED_VALUE"""),"African Emerald")</f>
        <v>African Emerald</v>
      </c>
      <c r="C24" s="13">
        <f>IFERROR(__xludf.DUMMYFUNCTION("""COMPUTED_VALUE"""),100.0)</f>
        <v>100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>
        <f>IFERROR(__xludf.DUMMYFUNCTION("""COMPUTED_VALUE"""),24.0)</f>
        <v>24</v>
      </c>
      <c r="B25" s="8" t="str">
        <f>IFERROR(__xludf.DUMMYFUNCTION("""COMPUTED_VALUE"""),"Chrome Diopside")</f>
        <v>Chrome Diopside</v>
      </c>
      <c r="C25" s="13">
        <f>IFERROR(__xludf.DUMMYFUNCTION("""COMPUTED_VALUE"""),100.0)</f>
        <v>100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>
        <f>IFERROR(__xludf.DUMMYFUNCTION("""COMPUTED_VALUE"""),25.0)</f>
        <v>25</v>
      </c>
      <c r="B26" s="8" t="str">
        <f>IFERROR(__xludf.DUMMYFUNCTION("""COMPUTED_VALUE"""),"Kimberly Emerald")</f>
        <v>Kimberly Emerald</v>
      </c>
      <c r="C26" s="13">
        <f>IFERROR(__xludf.DUMMYFUNCTION("""COMPUTED_VALUE"""),100.0)</f>
        <v>100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>
        <f>IFERROR(__xludf.DUMMYFUNCTION("""COMPUTED_VALUE"""),26.0)</f>
        <v>26</v>
      </c>
      <c r="B27" s="8" t="str">
        <f>IFERROR(__xludf.DUMMYFUNCTION("""COMPUTED_VALUE"""),"Rose Kunzite")</f>
        <v>Rose Kunzite</v>
      </c>
      <c r="C27" s="13">
        <f>IFERROR(__xludf.DUMMYFUNCTION("""COMPUTED_VALUE"""),100.0)</f>
        <v>100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>
        <f>IFERROR(__xludf.DUMMYFUNCTION("""COMPUTED_VALUE"""),27.0)</f>
        <v>27</v>
      </c>
      <c r="B28" s="8" t="str">
        <f>IFERROR(__xludf.DUMMYFUNCTION("""COMPUTED_VALUE"""),"African Jade")</f>
        <v>African Jade</v>
      </c>
      <c r="C28" s="13">
        <f>IFERROR(__xludf.DUMMYFUNCTION("""COMPUTED_VALUE"""),100.0)</f>
        <v>100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>
        <f>IFERROR(__xludf.DUMMYFUNCTION("""COMPUTED_VALUE"""),28.0)</f>
        <v>28</v>
      </c>
      <c r="B29" s="8" t="str">
        <f>IFERROR(__xludf.DUMMYFUNCTION("""COMPUTED_VALUE"""),"Chrome Tourmaline")</f>
        <v>Chrome Tourmaline</v>
      </c>
      <c r="C29" s="13">
        <f>IFERROR(__xludf.DUMMYFUNCTION("""COMPUTED_VALUE"""),100.0)</f>
        <v>100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>
        <f>IFERROR(__xludf.DUMMYFUNCTION("""COMPUTED_VALUE"""),29.0)</f>
        <v>29</v>
      </c>
      <c r="B30" s="8" t="str">
        <f>IFERROR(__xludf.DUMMYFUNCTION("""COMPUTED_VALUE"""),"Kingman Turquoise")</f>
        <v>Kingman Turquoise</v>
      </c>
      <c r="C30" s="13">
        <f>IFERROR(__xludf.DUMMYFUNCTION("""COMPUTED_VALUE"""),100.0)</f>
        <v>100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>
        <f>IFERROR(__xludf.DUMMYFUNCTION("""COMPUTED_VALUE"""),30.0)</f>
        <v>30</v>
      </c>
      <c r="B31" s="8" t="str">
        <f>IFERROR(__xludf.DUMMYFUNCTION("""COMPUTED_VALUE"""),"Rose Quartz")</f>
        <v>Rose Quartz</v>
      </c>
      <c r="C31" s="13">
        <f>IFERROR(__xludf.DUMMYFUNCTION("""COMPUTED_VALUE"""),100.0)</f>
        <v>100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>
        <f>IFERROR(__xludf.DUMMYFUNCTION("""COMPUTED_VALUE"""),31.0)</f>
        <v>31</v>
      </c>
      <c r="B32" s="8" t="str">
        <f>IFERROR(__xludf.DUMMYFUNCTION("""COMPUTED_VALUE"""),"Agate")</f>
        <v>Agate</v>
      </c>
      <c r="C32" s="13">
        <f>IFERROR(__xludf.DUMMYFUNCTION("""COMPUTED_VALUE"""),100.0)</f>
        <v>100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>
        <f>IFERROR(__xludf.DUMMYFUNCTION("""COMPUTED_VALUE"""),32.0)</f>
        <v>32</v>
      </c>
      <c r="B33" s="8" t="str">
        <f>IFERROR(__xludf.DUMMYFUNCTION("""COMPUTED_VALUE"""),"Chrysoberyl Cat's Eye")</f>
        <v>Chrysoberyl Cat's Eye</v>
      </c>
      <c r="C33" s="13">
        <f>IFERROR(__xludf.DUMMYFUNCTION("""COMPUTED_VALUE"""),100.0)</f>
        <v>100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>
        <f>IFERROR(__xludf.DUMMYFUNCTION("""COMPUTED_VALUE"""),33.0)</f>
        <v>33</v>
      </c>
      <c r="B34" s="8" t="str">
        <f>IFERROR(__xludf.DUMMYFUNCTION("""COMPUTED_VALUE"""),"Kinradite")</f>
        <v>Kinradite</v>
      </c>
      <c r="C34" s="13">
        <f>IFERROR(__xludf.DUMMYFUNCTION("""COMPUTED_VALUE"""),100.0)</f>
        <v>100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>
        <f>IFERROR(__xludf.DUMMYFUNCTION("""COMPUTED_VALUE"""),34.0)</f>
        <v>34</v>
      </c>
      <c r="B35" s="8" t="str">
        <f>IFERROR(__xludf.DUMMYFUNCTION("""COMPUTED_VALUE"""),"Rosinca")</f>
        <v>Rosinca</v>
      </c>
      <c r="C35" s="13">
        <f>IFERROR(__xludf.DUMMYFUNCTION("""COMPUTED_VALUE"""),100.0)</f>
        <v>100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>
        <f>IFERROR(__xludf.DUMMYFUNCTION("""COMPUTED_VALUE"""),35.0)</f>
        <v>35</v>
      </c>
      <c r="B36" s="8" t="str">
        <f>IFERROR(__xludf.DUMMYFUNCTION("""COMPUTED_VALUE"""),"Agate Geode")</f>
        <v>Agate Geode</v>
      </c>
      <c r="C36" s="13">
        <f>IFERROR(__xludf.DUMMYFUNCTION("""COMPUTED_VALUE"""),100.0)</f>
        <v>100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>
        <f>IFERROR(__xludf.DUMMYFUNCTION("""COMPUTED_VALUE"""),36.0)</f>
        <v>36</v>
      </c>
      <c r="B37" s="8" t="str">
        <f>IFERROR(__xludf.DUMMYFUNCTION("""COMPUTED_VALUE"""),"Chrysolite")</f>
        <v>Chrysolite</v>
      </c>
      <c r="C37" s="13">
        <f>IFERROR(__xludf.DUMMYFUNCTION("""COMPUTED_VALUE"""),100.0)</f>
        <v>100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>
        <f>IFERROR(__xludf.DUMMYFUNCTION("""COMPUTED_VALUE"""),37.0)</f>
        <v>37</v>
      </c>
      <c r="B38" s="8" t="str">
        <f>IFERROR(__xludf.DUMMYFUNCTION("""COMPUTED_VALUE"""),"Korean Jade")</f>
        <v>Korean Jade</v>
      </c>
      <c r="C38" s="13">
        <f>IFERROR(__xludf.DUMMYFUNCTION("""COMPUTED_VALUE"""),100.0)</f>
        <v>100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>
        <f>IFERROR(__xludf.DUMMYFUNCTION("""COMPUTED_VALUE"""),38.0)</f>
        <v>38</v>
      </c>
      <c r="B39" s="8" t="str">
        <f>IFERROR(__xludf.DUMMYFUNCTION("""COMPUTED_VALUE"""),"Rosolite")</f>
        <v>Rosolite</v>
      </c>
      <c r="C39" s="13">
        <f>IFERROR(__xludf.DUMMYFUNCTION("""COMPUTED_VALUE"""),100.0)</f>
        <v>100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>
        <f>IFERROR(__xludf.DUMMYFUNCTION("""COMPUTED_VALUE"""),39.0)</f>
        <v>39</v>
      </c>
      <c r="B40" s="8" t="str">
        <f>IFERROR(__xludf.DUMMYFUNCTION("""COMPUTED_VALUE"""),"Agate Jasper")</f>
        <v>Agate Jasper</v>
      </c>
      <c r="C40" s="13">
        <f>IFERROR(__xludf.DUMMYFUNCTION("""COMPUTED_VALUE"""),100.0)</f>
        <v>100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>
        <f>IFERROR(__xludf.DUMMYFUNCTION("""COMPUTED_VALUE"""),40.0)</f>
        <v>40</v>
      </c>
      <c r="B41" s="8" t="str">
        <f>IFERROR(__xludf.DUMMYFUNCTION("""COMPUTED_VALUE"""),"Chrysomelanite")</f>
        <v>Chrysomelanite</v>
      </c>
      <c r="C41" s="13">
        <f>IFERROR(__xludf.DUMMYFUNCTION("""COMPUTED_VALUE"""),100.0)</f>
        <v>100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>
        <f>IFERROR(__xludf.DUMMYFUNCTION("""COMPUTED_VALUE"""),41.0)</f>
        <v>41</v>
      </c>
      <c r="B42" s="8" t="str">
        <f>IFERROR(__xludf.DUMMYFUNCTION("""COMPUTED_VALUE"""),"Kunzite")</f>
        <v>Kunzite</v>
      </c>
      <c r="C42" s="13">
        <f>IFERROR(__xludf.DUMMYFUNCTION("""COMPUTED_VALUE"""),100.0)</f>
        <v>100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>
        <f>IFERROR(__xludf.DUMMYFUNCTION("""COMPUTED_VALUE"""),42.0)</f>
        <v>42</v>
      </c>
      <c r="B43" s="8" t="str">
        <f>IFERROR(__xludf.DUMMYFUNCTION("""COMPUTED_VALUE"""),"Rubellite")</f>
        <v>Rubellite</v>
      </c>
      <c r="C43" s="13">
        <f>IFERROR(__xludf.DUMMYFUNCTION("""COMPUTED_VALUE"""),100.0)</f>
        <v>100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>
        <f>IFERROR(__xludf.DUMMYFUNCTION("""COMPUTED_VALUE"""),43.0)</f>
        <v>43</v>
      </c>
      <c r="B44" s="8" t="str">
        <f>IFERROR(__xludf.DUMMYFUNCTION("""COMPUTED_VALUE"""),"Akoya Pearl")</f>
        <v>Akoya Pearl</v>
      </c>
      <c r="C44" s="13">
        <f>IFERROR(__xludf.DUMMYFUNCTION("""COMPUTED_VALUE"""),100.0)</f>
        <v>100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>
        <f>IFERROR(__xludf.DUMMYFUNCTION("""COMPUTED_VALUE"""),44.0)</f>
        <v>44</v>
      </c>
      <c r="B45" s="8" t="str">
        <f>IFERROR(__xludf.DUMMYFUNCTION("""COMPUTED_VALUE"""),"Chrysopal")</f>
        <v>Chrysopal</v>
      </c>
      <c r="C45" s="13">
        <f>IFERROR(__xludf.DUMMYFUNCTION("""COMPUTED_VALUE"""),100.0)</f>
        <v>100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>
        <f>IFERROR(__xludf.DUMMYFUNCTION("""COMPUTED_VALUE"""),45.0)</f>
        <v>45</v>
      </c>
      <c r="B46" s="8" t="str">
        <f>IFERROR(__xludf.DUMMYFUNCTION("""COMPUTED_VALUE"""),"Laguna Agate")</f>
        <v>Laguna Agate</v>
      </c>
      <c r="C46" s="13">
        <f>IFERROR(__xludf.DUMMYFUNCTION("""COMPUTED_VALUE"""),100.0)</f>
        <v>100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>
        <f>IFERROR(__xludf.DUMMYFUNCTION("""COMPUTED_VALUE"""),46.0)</f>
        <v>46</v>
      </c>
      <c r="B47" s="8" t="str">
        <f>IFERROR(__xludf.DUMMYFUNCTION("""COMPUTED_VALUE"""),"Rubicelle")</f>
        <v>Rubicelle</v>
      </c>
      <c r="C47" s="13">
        <f>IFERROR(__xludf.DUMMYFUNCTION("""COMPUTED_VALUE"""),100.0)</f>
        <v>100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>
        <f>IFERROR(__xludf.DUMMYFUNCTION("""COMPUTED_VALUE"""),47.0)</f>
        <v>47</v>
      </c>
      <c r="B48" s="8" t="str">
        <f>IFERROR(__xludf.DUMMYFUNCTION("""COMPUTED_VALUE"""),"Alabandine Ruby")</f>
        <v>Alabandine Ruby</v>
      </c>
      <c r="C48" s="13">
        <f>IFERROR(__xludf.DUMMYFUNCTION("""COMPUTED_VALUE"""),100.0)</f>
        <v>100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>
        <f>IFERROR(__xludf.DUMMYFUNCTION("""COMPUTED_VALUE"""),48.0)</f>
        <v>48</v>
      </c>
      <c r="B49" s="8" t="str">
        <f>IFERROR(__xludf.DUMMYFUNCTION("""COMPUTED_VALUE"""),"Chrysoprase")</f>
        <v>Chrysoprase</v>
      </c>
      <c r="C49" s="13">
        <f>IFERROR(__xludf.DUMMYFUNCTION("""COMPUTED_VALUE"""),100.0)</f>
        <v>100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>
        <f>IFERROR(__xludf.DUMMYFUNCTION("""COMPUTED_VALUE"""),49.0)</f>
        <v>49</v>
      </c>
      <c r="B50" s="8" t="str">
        <f>IFERROR(__xludf.DUMMYFUNCTION("""COMPUTED_VALUE"""),"Lapis")</f>
        <v>Lapis</v>
      </c>
      <c r="C50" s="13">
        <f>IFERROR(__xludf.DUMMYFUNCTION("""COMPUTED_VALUE"""),100.0)</f>
        <v>100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>
        <f>IFERROR(__xludf.DUMMYFUNCTION("""COMPUTED_VALUE"""),50.0)</f>
        <v>50</v>
      </c>
      <c r="B51" s="8" t="str">
        <f>IFERROR(__xludf.DUMMYFUNCTION("""COMPUTED_VALUE"""),"Ruby Copper")</f>
        <v>Ruby Copper</v>
      </c>
      <c r="C51" s="13">
        <f>IFERROR(__xludf.DUMMYFUNCTION("""COMPUTED_VALUE"""),100.0)</f>
        <v>100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>
        <f>IFERROR(__xludf.DUMMYFUNCTION("""COMPUTED_VALUE"""),51.0)</f>
        <v>51</v>
      </c>
      <c r="B52" s="8" t="str">
        <f>IFERROR(__xludf.DUMMYFUNCTION("""COMPUTED_VALUE"""),"Alamandine")</f>
        <v>Alamandine</v>
      </c>
      <c r="C52" s="13">
        <f>IFERROR(__xludf.DUMMYFUNCTION("""COMPUTED_VALUE"""),100.0)</f>
        <v>100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>
        <f>IFERROR(__xludf.DUMMYFUNCTION("""COMPUTED_VALUE"""),52.0)</f>
        <v>52</v>
      </c>
      <c r="B53" s="8" t="str">
        <f>IFERROR(__xludf.DUMMYFUNCTION("""COMPUTED_VALUE"""),"Cinn")</f>
        <v>Cinn</v>
      </c>
      <c r="C53" s="13">
        <f>IFERROR(__xludf.DUMMYFUNCTION("""COMPUTED_VALUE"""),100.0)</f>
        <v>100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>
        <f>IFERROR(__xludf.DUMMYFUNCTION("""COMPUTED_VALUE"""),53.0)</f>
        <v>53</v>
      </c>
      <c r="B54" s="8" t="str">
        <f>IFERROR(__xludf.DUMMYFUNCTION("""COMPUTED_VALUE"""),"Lavender Jade")</f>
        <v>Lavender Jade</v>
      </c>
      <c r="C54" s="13">
        <f>IFERROR(__xludf.DUMMYFUNCTION("""COMPUTED_VALUE"""),100.0)</f>
        <v>100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>
        <f>IFERROR(__xludf.DUMMYFUNCTION("""COMPUTED_VALUE"""),54.0)</f>
        <v>54</v>
      </c>
      <c r="B55" s="8" t="str">
        <f>IFERROR(__xludf.DUMMYFUNCTION("""COMPUTED_VALUE"""),"Ruby Fuschite")</f>
        <v>Ruby Fuschite</v>
      </c>
      <c r="C55" s="13">
        <f>IFERROR(__xludf.DUMMYFUNCTION("""COMPUTED_VALUE"""),100.0)</f>
        <v>100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>
        <f>IFERROR(__xludf.DUMMYFUNCTION("""COMPUTED_VALUE"""),55.0)</f>
        <v>55</v>
      </c>
      <c r="B56" s="8" t="str">
        <f>IFERROR(__xludf.DUMMYFUNCTION("""COMPUTED_VALUE"""),"Alaska Black Diamond")</f>
        <v>Alaska Black Diamond</v>
      </c>
      <c r="C56" s="13">
        <f>IFERROR(__xludf.DUMMYFUNCTION("""COMPUTED_VALUE"""),100.0)</f>
        <v>100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>
        <f>IFERROR(__xludf.DUMMYFUNCTION("""COMPUTED_VALUE"""),56.0)</f>
        <v>56</v>
      </c>
      <c r="B57" s="8" t="str">
        <f>IFERROR(__xludf.DUMMYFUNCTION("""COMPUTED_VALUE"""),"Citrine")</f>
        <v>Citrine</v>
      </c>
      <c r="C57" s="13">
        <f>IFERROR(__xludf.DUMMYFUNCTION("""COMPUTED_VALUE"""),100.0)</f>
        <v>100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>
        <f>IFERROR(__xludf.DUMMYFUNCTION("""COMPUTED_VALUE"""),57.0)</f>
        <v>57</v>
      </c>
      <c r="B58" s="8" t="str">
        <f>IFERROR(__xludf.DUMMYFUNCTION("""COMPUTED_VALUE"""),"Lazurite")</f>
        <v>Lazurite</v>
      </c>
      <c r="C58" s="13">
        <f>IFERROR(__xludf.DUMMYFUNCTION("""COMPUTED_VALUE"""),100.0)</f>
        <v>100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>
        <f>IFERROR(__xludf.DUMMYFUNCTION("""COMPUTED_VALUE"""),58.0)</f>
        <v>58</v>
      </c>
      <c r="B59" s="8" t="str">
        <f>IFERROR(__xludf.DUMMYFUNCTION("""COMPUTED_VALUE"""),"Ruby Garnet")</f>
        <v>Ruby Garnet</v>
      </c>
      <c r="C59" s="13">
        <f>IFERROR(__xludf.DUMMYFUNCTION("""COMPUTED_VALUE"""),100.0)</f>
        <v>100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>
        <f>IFERROR(__xludf.DUMMYFUNCTION("""COMPUTED_VALUE"""),59.0)</f>
        <v>59</v>
      </c>
      <c r="B60" s="8" t="str">
        <f>IFERROR(__xludf.DUMMYFUNCTION("""COMPUTED_VALUE"""),"Alexandrine")</f>
        <v>Alexandrine</v>
      </c>
      <c r="C60" s="13">
        <f>IFERROR(__xludf.DUMMYFUNCTION("""COMPUTED_VALUE"""),100.0)</f>
        <v>100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>
        <f>IFERROR(__xludf.DUMMYFUNCTION("""COMPUTED_VALUE"""),60.0)</f>
        <v>60</v>
      </c>
      <c r="B61" s="8" t="str">
        <f>IFERROR(__xludf.DUMMYFUNCTION("""COMPUTED_VALUE"""),"Citrine Topaz")</f>
        <v>Citrine Topaz</v>
      </c>
      <c r="C61" s="13">
        <f>IFERROR(__xludf.DUMMYFUNCTION("""COMPUTED_VALUE"""),100.0)</f>
        <v>100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>
        <f>IFERROR(__xludf.DUMMYFUNCTION("""COMPUTED_VALUE"""),61.0)</f>
        <v>61</v>
      </c>
      <c r="B62" s="8" t="str">
        <f>IFERROR(__xludf.DUMMYFUNCTION("""COMPUTED_VALUE"""),"Lemon Opal")</f>
        <v>Lemon Opal</v>
      </c>
      <c r="C62" s="13">
        <f>IFERROR(__xludf.DUMMYFUNCTION("""COMPUTED_VALUE"""),100.0)</f>
        <v>100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>
        <f>IFERROR(__xludf.DUMMYFUNCTION("""COMPUTED_VALUE"""),62.0)</f>
        <v>62</v>
      </c>
      <c r="B63" s="8" t="str">
        <f>IFERROR(__xludf.DUMMYFUNCTION("""COMPUTED_VALUE"""),"Ruby Spinel")</f>
        <v>Ruby Spinel</v>
      </c>
      <c r="C63" s="13">
        <f>IFERROR(__xludf.DUMMYFUNCTION("""COMPUTED_VALUE"""),100.0)</f>
        <v>100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>
        <f>IFERROR(__xludf.DUMMYFUNCTION("""COMPUTED_VALUE"""),63.0)</f>
        <v>63</v>
      </c>
      <c r="B64" s="8" t="str">
        <f>IFERROR(__xludf.DUMMYFUNCTION("""COMPUTED_VALUE"""),"Alexandrite")</f>
        <v>Alexandrite</v>
      </c>
      <c r="C64" s="13">
        <f>IFERROR(__xludf.DUMMYFUNCTION("""COMPUTED_VALUE"""),100.0)</f>
        <v>100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>
        <f>IFERROR(__xludf.DUMMYFUNCTION("""COMPUTED_VALUE"""),64.0)</f>
        <v>64</v>
      </c>
      <c r="B65" s="8" t="str">
        <f>IFERROR(__xludf.DUMMYFUNCTION("""COMPUTED_VALUE"""),"Claro Opal")</f>
        <v>Claro Opal</v>
      </c>
      <c r="C65" s="13">
        <f>IFERROR(__xludf.DUMMYFUNCTION("""COMPUTED_VALUE"""),100.0)</f>
        <v>100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>
        <f>IFERROR(__xludf.DUMMYFUNCTION("""COMPUTED_VALUE"""),65.0)</f>
        <v>65</v>
      </c>
      <c r="B66" s="8" t="str">
        <f>IFERROR(__xludf.DUMMYFUNCTION("""COMPUTED_VALUE"""),"Lemon Quartz")</f>
        <v>Lemon Quartz</v>
      </c>
      <c r="C66" s="13">
        <f>IFERROR(__xludf.DUMMYFUNCTION("""COMPUTED_VALUE"""),100.0)</f>
        <v>100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>
        <f>IFERROR(__xludf.DUMMYFUNCTION("""COMPUTED_VALUE"""),66.0)</f>
        <v>66</v>
      </c>
      <c r="B67" s="8" t="str">
        <f>IFERROR(__xludf.DUMMYFUNCTION("""COMPUTED_VALUE"""),"Ruby Zoisite")</f>
        <v>Ruby Zoisite</v>
      </c>
      <c r="C67" s="13">
        <f>IFERROR(__xludf.DUMMYFUNCTION("""COMPUTED_VALUE"""),100.0)</f>
        <v>100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>
        <f>IFERROR(__xludf.DUMMYFUNCTION("""COMPUTED_VALUE"""),67.0)</f>
        <v>67</v>
      </c>
      <c r="B68" s="8" t="str">
        <f>IFERROR(__xludf.DUMMYFUNCTION("""COMPUTED_VALUE"""),"Alexandrite Garnet")</f>
        <v>Alexandrite Garnet</v>
      </c>
      <c r="C68" s="13">
        <f>IFERROR(__xludf.DUMMYFUNCTION("""COMPUTED_VALUE"""),100.0)</f>
        <v>100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>
        <f>IFERROR(__xludf.DUMMYFUNCTION("""COMPUTED_VALUE"""),68.0)</f>
        <v>68</v>
      </c>
      <c r="B69" s="8" t="str">
        <f>IFERROR(__xludf.DUMMYFUNCTION("""COMPUTED_VALUE"""),"Clinothulite")</f>
        <v>Clinothulite</v>
      </c>
      <c r="C69" s="13">
        <f>IFERROR(__xludf.DUMMYFUNCTION("""COMPUTED_VALUE"""),100.0)</f>
        <v>100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>
        <f>IFERROR(__xludf.DUMMYFUNCTION("""COMPUTED_VALUE"""),69.0)</f>
        <v>69</v>
      </c>
      <c r="B70" s="8" t="str">
        <f>IFERROR(__xludf.DUMMYFUNCTION("""COMPUTED_VALUE"""),"Leopard Jasper")</f>
        <v>Leopard Jasper</v>
      </c>
      <c r="C70" s="13">
        <f>IFERROR(__xludf.DUMMYFUNCTION("""COMPUTED_VALUE"""),100.0)</f>
        <v>100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>
        <f>IFERROR(__xludf.DUMMYFUNCTION("""COMPUTED_VALUE"""),70.0)</f>
        <v>70</v>
      </c>
      <c r="B71" s="8" t="str">
        <f>IFERROR(__xludf.DUMMYFUNCTION("""COMPUTED_VALUE"""),"Russian Jade")</f>
        <v>Russian Jade</v>
      </c>
      <c r="C71" s="13">
        <f>IFERROR(__xludf.DUMMYFUNCTION("""COMPUTED_VALUE"""),100.0)</f>
        <v>100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>
        <f>IFERROR(__xludf.DUMMYFUNCTION("""COMPUTED_VALUE"""),71.0)</f>
        <v>71</v>
      </c>
      <c r="B72" s="8" t="str">
        <f>IFERROR(__xludf.DUMMYFUNCTION("""COMPUTED_VALUE"""),"Alexandrite Sapphire")</f>
        <v>Alexandrite Sapphire</v>
      </c>
      <c r="C72" s="13">
        <f>IFERROR(__xludf.DUMMYFUNCTION("""COMPUTED_VALUE"""),100.0)</f>
        <v>100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>
        <f>IFERROR(__xludf.DUMMYFUNCTION("""COMPUTED_VALUE"""),72.0)</f>
        <v>72</v>
      </c>
      <c r="B73" s="8" t="str">
        <f>IFERROR(__xludf.DUMMYFUNCTION("""COMPUTED_VALUE"""),"Colombian Emerald")</f>
        <v>Colombian Emerald</v>
      </c>
      <c r="C73" s="13">
        <f>IFERROR(__xludf.DUMMYFUNCTION("""COMPUTED_VALUE"""),100.0)</f>
        <v>100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>
        <f>IFERROR(__xludf.DUMMYFUNCTION("""COMPUTED_VALUE"""),73.0)</f>
        <v>73</v>
      </c>
      <c r="B74" s="8" t="str">
        <f>IFERROR(__xludf.DUMMYFUNCTION("""COMPUTED_VALUE"""),"Leuco-Garnet")</f>
        <v>Leuco-Garnet</v>
      </c>
      <c r="C74" s="13">
        <f>IFERROR(__xludf.DUMMYFUNCTION("""COMPUTED_VALUE"""),100.0)</f>
        <v>100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>
        <f>IFERROR(__xludf.DUMMYFUNCTION("""COMPUTED_VALUE"""),74.0)</f>
        <v>74</v>
      </c>
      <c r="B75" s="8" t="str">
        <f>IFERROR(__xludf.DUMMYFUNCTION("""COMPUTED_VALUE"""),"Russian Jasper")</f>
        <v>Russian Jasper</v>
      </c>
      <c r="C75" s="13">
        <f>IFERROR(__xludf.DUMMYFUNCTION("""COMPUTED_VALUE"""),100.0)</f>
        <v>100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>
        <f>IFERROR(__xludf.DUMMYFUNCTION("""COMPUTED_VALUE"""),75.0)</f>
        <v>75</v>
      </c>
      <c r="B76" s="8" t="str">
        <f>IFERROR(__xludf.DUMMYFUNCTION("""COMPUTED_VALUE"""),"Almandine Spinel")</f>
        <v>Almandine Spinel</v>
      </c>
      <c r="C76" s="13">
        <f>IFERROR(__xludf.DUMMYFUNCTION("""COMPUTED_VALUE"""),100.0)</f>
        <v>100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>
        <f>IFERROR(__xludf.DUMMYFUNCTION("""COMPUTED_VALUE"""),76.0)</f>
        <v>76</v>
      </c>
      <c r="B77" s="8" t="str">
        <f>IFERROR(__xludf.DUMMYFUNCTION("""COMPUTED_VALUE"""),"Colorado Jade")</f>
        <v>Colorado Jade</v>
      </c>
      <c r="C77" s="13">
        <f>IFERROR(__xludf.DUMMYFUNCTION("""COMPUTED_VALUE"""),100.0)</f>
        <v>100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>
        <f>IFERROR(__xludf.DUMMYFUNCTION("""COMPUTED_VALUE"""),77.0)</f>
        <v>77</v>
      </c>
      <c r="B78" s="8" t="str">
        <f>IFERROR(__xludf.DUMMYFUNCTION("""COMPUTED_VALUE"""),"Lightning Ridge Opal")</f>
        <v>Lightning Ridge Opal</v>
      </c>
      <c r="C78" s="13">
        <f>IFERROR(__xludf.DUMMYFUNCTION("""COMPUTED_VALUE"""),100.0)</f>
        <v>100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>
        <f>IFERROR(__xludf.DUMMYFUNCTION("""COMPUTED_VALUE"""),78.0)</f>
        <v>78</v>
      </c>
      <c r="B79" s="8" t="str">
        <f>IFERROR(__xludf.DUMMYFUNCTION("""COMPUTED_VALUE"""),"Rutilated Quartz")</f>
        <v>Rutilated Quartz</v>
      </c>
      <c r="C79" s="13">
        <f>IFERROR(__xludf.DUMMYFUNCTION("""COMPUTED_VALUE"""),100.0)</f>
        <v>100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>
        <f>IFERROR(__xludf.DUMMYFUNCTION("""COMPUTED_VALUE"""),79.0)</f>
        <v>79</v>
      </c>
      <c r="B80" s="8" t="str">
        <f>IFERROR(__xludf.DUMMYFUNCTION("""COMPUTED_VALUE"""),"Almandite")</f>
        <v>Almandite</v>
      </c>
      <c r="C80" s="13">
        <f>IFERROR(__xludf.DUMMYFUNCTION("""COMPUTED_VALUE"""),100.0)</f>
        <v>100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>
        <f>IFERROR(__xludf.DUMMYFUNCTION("""COMPUTED_VALUE"""),80.0)</f>
        <v>80</v>
      </c>
      <c r="B81" s="8" t="str">
        <f>IFERROR(__xludf.DUMMYFUNCTION("""COMPUTED_VALUE"""),"Colorado Ruby")</f>
        <v>Colorado Ruby</v>
      </c>
      <c r="C81" s="13">
        <f>IFERROR(__xludf.DUMMYFUNCTION("""COMPUTED_VALUE"""),100.0)</f>
        <v>100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>
        <f>IFERROR(__xludf.DUMMYFUNCTION("""COMPUTED_VALUE"""),81.0)</f>
        <v>81</v>
      </c>
      <c r="B82" s="8" t="str">
        <f>IFERROR(__xludf.DUMMYFUNCTION("""COMPUTED_VALUE"""),"Linde Emerald")</f>
        <v>Linde Emerald</v>
      </c>
      <c r="C82" s="13">
        <f>IFERROR(__xludf.DUMMYFUNCTION("""COMPUTED_VALUE"""),100.0)</f>
        <v>100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>
        <f>IFERROR(__xludf.DUMMYFUNCTION("""COMPUTED_VALUE"""),82.0)</f>
        <v>82</v>
      </c>
      <c r="B83" s="8" t="str">
        <f>IFERROR(__xludf.DUMMYFUNCTION("""COMPUTED_VALUE"""),"Rutilated Topaz")</f>
        <v>Rutilated Topaz</v>
      </c>
      <c r="C83" s="13">
        <f>IFERROR(__xludf.DUMMYFUNCTION("""COMPUTED_VALUE"""),100.0)</f>
        <v>100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>
        <f>IFERROR(__xludf.DUMMYFUNCTION("""COMPUTED_VALUE"""),83.0)</f>
        <v>83</v>
      </c>
      <c r="B84" s="8" t="str">
        <f>IFERROR(__xludf.DUMMYFUNCTION("""COMPUTED_VALUE"""),"Amatrix")</f>
        <v>Amatrix</v>
      </c>
      <c r="C84" s="13">
        <f>IFERROR(__xludf.DUMMYFUNCTION("""COMPUTED_VALUE"""),100.0)</f>
        <v>100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>
        <f>IFERROR(__xludf.DUMMYFUNCTION("""COMPUTED_VALUE"""),84.0)</f>
        <v>84</v>
      </c>
      <c r="B85" s="8" t="str">
        <f>IFERROR(__xludf.DUMMYFUNCTION("""COMPUTED_VALUE"""),"Color-Change Garnet")</f>
        <v>Color-Change Garnet</v>
      </c>
      <c r="C85" s="13">
        <f>IFERROR(__xludf.DUMMYFUNCTION("""COMPUTED_VALUE"""),100.0)</f>
        <v>100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>
        <f>IFERROR(__xludf.DUMMYFUNCTION("""COMPUTED_VALUE"""),85.0)</f>
        <v>85</v>
      </c>
      <c r="B86" s="8" t="str">
        <f>IFERROR(__xludf.DUMMYFUNCTION("""COMPUTED_VALUE"""),"Lithia Emerald")</f>
        <v>Lithia Emerald</v>
      </c>
      <c r="C86" s="13">
        <f>IFERROR(__xludf.DUMMYFUNCTION("""COMPUTED_VALUE"""),100.0)</f>
        <v>100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>
        <f>IFERROR(__xludf.DUMMYFUNCTION("""COMPUTED_VALUE"""),86.0)</f>
        <v>86</v>
      </c>
      <c r="B87" s="8" t="str">
        <f>IFERROR(__xludf.DUMMYFUNCTION("""COMPUTED_VALUE"""),"Rutile Quartz")</f>
        <v>Rutile Quartz</v>
      </c>
      <c r="C87" s="13">
        <f>IFERROR(__xludf.DUMMYFUNCTION("""COMPUTED_VALUE"""),100.0)</f>
        <v>100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>
        <f>IFERROR(__xludf.DUMMYFUNCTION("""COMPUTED_VALUE"""),87.0)</f>
        <v>87</v>
      </c>
      <c r="B88" s="8" t="str">
        <f>IFERROR(__xludf.DUMMYFUNCTION("""COMPUTED_VALUE"""),"Amazon Jade")</f>
        <v>Amazon Jade</v>
      </c>
      <c r="C88" s="13">
        <f>IFERROR(__xludf.DUMMYFUNCTION("""COMPUTED_VALUE"""),100.0)</f>
        <v>100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>
        <f>IFERROR(__xludf.DUMMYFUNCTION("""COMPUTED_VALUE"""),88.0)</f>
        <v>88</v>
      </c>
      <c r="B89" s="8" t="str">
        <f>IFERROR(__xludf.DUMMYFUNCTION("""COMPUTED_VALUE"""),"Color-Change Sapphire")</f>
        <v>Color-Change Sapphire</v>
      </c>
      <c r="C89" s="13">
        <f>IFERROR(__xludf.DUMMYFUNCTION("""COMPUTED_VALUE"""),100.0)</f>
        <v>100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>
        <f>IFERROR(__xludf.DUMMYFUNCTION("""COMPUTED_VALUE"""),89.0)</f>
        <v>89</v>
      </c>
      <c r="B90" s="8" t="str">
        <f>IFERROR(__xludf.DUMMYFUNCTION("""COMPUTED_VALUE"""),"London Blue Topaz")</f>
        <v>London Blue Topaz</v>
      </c>
      <c r="C90" s="13">
        <f>IFERROR(__xludf.DUMMYFUNCTION("""COMPUTED_VALUE"""),100.0)</f>
        <v>100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>
        <f>IFERROR(__xludf.DUMMYFUNCTION("""COMPUTED_VALUE"""),90.0)</f>
        <v>90</v>
      </c>
      <c r="B91" s="8" t="str">
        <f>IFERROR(__xludf.DUMMYFUNCTION("""COMPUTED_VALUE"""),"Sagenite Agate")</f>
        <v>Sagenite Agate</v>
      </c>
      <c r="C91" s="13">
        <f>IFERROR(__xludf.DUMMYFUNCTION("""COMPUTED_VALUE"""),100.0)</f>
        <v>100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>
        <f>IFERROR(__xludf.DUMMYFUNCTION("""COMPUTED_VALUE"""),91.0)</f>
        <v>91</v>
      </c>
      <c r="B92" s="8" t="str">
        <f>IFERROR(__xludf.DUMMYFUNCTION("""COMPUTED_VALUE"""),"Amazon Stone")</f>
        <v>Amazon Stone</v>
      </c>
      <c r="C92" s="13">
        <f>IFERROR(__xludf.DUMMYFUNCTION("""COMPUTED_VALUE"""),100.0)</f>
        <v>100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>
        <f>IFERROR(__xludf.DUMMYFUNCTION("""COMPUTED_VALUE"""),92.0)</f>
        <v>92</v>
      </c>
      <c r="B93" s="8" t="str">
        <f>IFERROR(__xludf.DUMMYFUNCTION("""COMPUTED_VALUE"""),"Common Opal")</f>
        <v>Common Opal</v>
      </c>
      <c r="C93" s="13">
        <f>IFERROR(__xludf.DUMMYFUNCTION("""COMPUTED_VALUE"""),100.0)</f>
        <v>100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>
        <f>IFERROR(__xludf.DUMMYFUNCTION("""COMPUTED_VALUE"""),93.0)</f>
        <v>93</v>
      </c>
      <c r="B94" s="8" t="str">
        <f>IFERROR(__xludf.DUMMYFUNCTION("""COMPUTED_VALUE"""),"Lux Sapphire")</f>
        <v>Lux Sapphire</v>
      </c>
      <c r="C94" s="13">
        <f>IFERROR(__xludf.DUMMYFUNCTION("""COMPUTED_VALUE"""),100.0)</f>
        <v>100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>
        <f>IFERROR(__xludf.DUMMYFUNCTION("""COMPUTED_VALUE"""),94.0)</f>
        <v>94</v>
      </c>
      <c r="B95" s="8" t="str">
        <f>IFERROR(__xludf.DUMMYFUNCTION("""COMPUTED_VALUE"""),"Saltwater Pearl")</f>
        <v>Saltwater Pearl</v>
      </c>
      <c r="C95" s="13">
        <f>IFERROR(__xludf.DUMMYFUNCTION("""COMPUTED_VALUE"""),100.0)</f>
        <v>100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>
        <f>IFERROR(__xludf.DUMMYFUNCTION("""COMPUTED_VALUE"""),95.0)</f>
        <v>95</v>
      </c>
      <c r="B96" s="8" t="str">
        <f>IFERROR(__xludf.DUMMYFUNCTION("""COMPUTED_VALUE"""),"Amazonstone")</f>
        <v>Amazonstone</v>
      </c>
      <c r="C96" s="13">
        <f>IFERROR(__xludf.DUMMYFUNCTION("""COMPUTED_VALUE"""),100.0)</f>
        <v>100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>
        <f>IFERROR(__xludf.DUMMYFUNCTION("""COMPUTED_VALUE"""),96.0)</f>
        <v>96</v>
      </c>
      <c r="B97" s="8" t="str">
        <f>IFERROR(__xludf.DUMMYFUNCTION("""COMPUTED_VALUE"""),"Condor Agate")</f>
        <v>Condor Agate</v>
      </c>
      <c r="C97" s="13">
        <f>IFERROR(__xludf.DUMMYFUNCTION("""COMPUTED_VALUE"""),100.0)</f>
        <v>100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>
        <f>IFERROR(__xludf.DUMMYFUNCTION("""COMPUTED_VALUE"""),97.0)</f>
        <v>97</v>
      </c>
      <c r="B98" s="8" t="str">
        <f>IFERROR(__xludf.DUMMYFUNCTION("""COMPUTED_VALUE"""),"Lynx Sapphire")</f>
        <v>Lynx Sapphire</v>
      </c>
      <c r="C98" s="13">
        <f>IFERROR(__xludf.DUMMYFUNCTION("""COMPUTED_VALUE"""),100.0)</f>
        <v>100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>
        <f>IFERROR(__xludf.DUMMYFUNCTION("""COMPUTED_VALUE"""),98.0)</f>
        <v>98</v>
      </c>
      <c r="B99" s="8" t="str">
        <f>IFERROR(__xludf.DUMMYFUNCTION("""COMPUTED_VALUE"""),"Sapphire Quartz")</f>
        <v>Sapphire Quartz</v>
      </c>
      <c r="C99" s="13">
        <f>IFERROR(__xludf.DUMMYFUNCTION("""COMPUTED_VALUE"""),100.0)</f>
        <v>100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>
        <f>IFERROR(__xludf.DUMMYFUNCTION("""COMPUTED_VALUE"""),99.0)</f>
        <v>99</v>
      </c>
      <c r="B100" s="8" t="str">
        <f>IFERROR(__xludf.DUMMYFUNCTION("""COMPUTED_VALUE"""),"Amberoid")</f>
        <v>Amberoid</v>
      </c>
      <c r="C100" s="13">
        <f>IFERROR(__xludf.DUMMYFUNCTION("""COMPUTED_VALUE"""),100.0)</f>
        <v>100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>
        <f>IFERROR(__xludf.DUMMYFUNCTION("""COMPUTED_VALUE"""),100.0)</f>
        <v>100</v>
      </c>
      <c r="B101" s="8" t="str">
        <f>IFERROR(__xludf.DUMMYFUNCTION("""COMPUTED_VALUE"""),"Congo Emerald")</f>
        <v>Congo Emerald</v>
      </c>
      <c r="C101" s="13">
        <f>IFERROR(__xludf.DUMMYFUNCTION("""COMPUTED_VALUE"""),200.0)</f>
        <v>200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>
        <f>IFERROR(__xludf.DUMMYFUNCTION("""COMPUTED_VALUE"""),101.0)</f>
        <v>101</v>
      </c>
      <c r="B102" s="8" t="str">
        <f>IFERROR(__xludf.DUMMYFUNCTION("""COMPUTED_VALUE"""),"Mabe Pearl")</f>
        <v>Mabe Pearl</v>
      </c>
      <c r="C102" s="13">
        <f>IFERROR(__xludf.DUMMYFUNCTION("""COMPUTED_VALUE"""),200.0)</f>
        <v>200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>
        <f>IFERROR(__xludf.DUMMYFUNCTION("""COMPUTED_VALUE"""),102.0)</f>
        <v>102</v>
      </c>
      <c r="B103" s="8" t="str">
        <f>IFERROR(__xludf.DUMMYFUNCTION("""COMPUTED_VALUE"""),"Sapphire Spinel")</f>
        <v>Sapphire Spinel</v>
      </c>
      <c r="C103" s="13">
        <f>IFERROR(__xludf.DUMMYFUNCTION("""COMPUTED_VALUE"""),200.0)</f>
        <v>200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>
        <f>IFERROR(__xludf.DUMMYFUNCTION("""COMPUTED_VALUE"""),103.0)</f>
        <v>103</v>
      </c>
      <c r="B104" s="8" t="str">
        <f>IFERROR(__xludf.DUMMYFUNCTION("""COMPUTED_VALUE"""),"American Ruby")</f>
        <v>American Ruby</v>
      </c>
      <c r="C104" s="13">
        <f>IFERROR(__xludf.DUMMYFUNCTION("""COMPUTED_VALUE"""),200.0)</f>
        <v>200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>
        <f>IFERROR(__xludf.DUMMYFUNCTION("""COMPUTED_VALUE"""),104.0)</f>
        <v>104</v>
      </c>
      <c r="B105" s="8" t="str">
        <f>IFERROR(__xludf.DUMMYFUNCTION("""COMPUTED_VALUE"""),"Copal")</f>
        <v>Copal</v>
      </c>
      <c r="C105" s="13">
        <f>IFERROR(__xludf.DUMMYFUNCTION("""COMPUTED_VALUE"""),200.0)</f>
        <v>200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>
        <f>IFERROR(__xludf.DUMMYFUNCTION("""COMPUTED_VALUE"""),105.0)</f>
        <v>105</v>
      </c>
      <c r="B106" s="8" t="str">
        <f>IFERROR(__xludf.DUMMYFUNCTION("""COMPUTED_VALUE"""),"Madeira Topaz")</f>
        <v>Madeira Topaz</v>
      </c>
      <c r="C106" s="13">
        <f>IFERROR(__xludf.DUMMYFUNCTION("""COMPUTED_VALUE"""),200.0)</f>
        <v>200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>
        <f>IFERROR(__xludf.DUMMYFUNCTION("""COMPUTED_VALUE"""),106.0)</f>
        <v>106</v>
      </c>
      <c r="B107" s="8" t="str">
        <f>IFERROR(__xludf.DUMMYFUNCTION("""COMPUTED_VALUE"""),"Sapphire Spinel")</f>
        <v>Sapphire Spinel</v>
      </c>
      <c r="C107" s="13">
        <f>IFERROR(__xludf.DUMMYFUNCTION("""COMPUTED_VALUE"""),200.0)</f>
        <v>200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>
        <f>IFERROR(__xludf.DUMMYFUNCTION("""COMPUTED_VALUE"""),107.0)</f>
        <v>107</v>
      </c>
      <c r="B108" s="8" t="str">
        <f>IFERROR(__xludf.DUMMYFUNCTION("""COMPUTED_VALUE"""),"Amethyst")</f>
        <v>Amethyst</v>
      </c>
      <c r="C108" s="13">
        <f>IFERROR(__xludf.DUMMYFUNCTION("""COMPUTED_VALUE"""),200.0)</f>
        <v>200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>
        <f>IFERROR(__xludf.DUMMYFUNCTION("""COMPUTED_VALUE"""),108.0)</f>
        <v>108</v>
      </c>
      <c r="B109" s="8" t="str">
        <f>IFERROR(__xludf.DUMMYFUNCTION("""COMPUTED_VALUE"""),"Copper Ruby")</f>
        <v>Copper Ruby</v>
      </c>
      <c r="C109" s="13">
        <f>IFERROR(__xludf.DUMMYFUNCTION("""COMPUTED_VALUE"""),200.0)</f>
        <v>200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>
        <f>IFERROR(__xludf.DUMMYFUNCTION("""COMPUTED_VALUE"""),109.0)</f>
        <v>109</v>
      </c>
      <c r="B110" s="8" t="str">
        <f>IFERROR(__xludf.DUMMYFUNCTION("""COMPUTED_VALUE"""),"Malaia Garnet")</f>
        <v>Malaia Garnet</v>
      </c>
      <c r="C110" s="13">
        <f>IFERROR(__xludf.DUMMYFUNCTION("""COMPUTED_VALUE"""),200.0)</f>
        <v>200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>
        <f>IFERROR(__xludf.DUMMYFUNCTION("""COMPUTED_VALUE"""),110.0)</f>
        <v>110</v>
      </c>
      <c r="B111" s="8" t="str">
        <f>IFERROR(__xludf.DUMMYFUNCTION("""COMPUTED_VALUE"""),"Sard")</f>
        <v>Sard</v>
      </c>
      <c r="C111" s="13">
        <f>IFERROR(__xludf.DUMMYFUNCTION("""COMPUTED_VALUE"""),200.0)</f>
        <v>200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>
        <f>IFERROR(__xludf.DUMMYFUNCTION("""COMPUTED_VALUE"""),111.0)</f>
        <v>111</v>
      </c>
      <c r="B112" s="8" t="str">
        <f>IFERROR(__xludf.DUMMYFUNCTION("""COMPUTED_VALUE"""),"Amethyst Quartz")</f>
        <v>Amethyst Quartz</v>
      </c>
      <c r="C112" s="13">
        <f>IFERROR(__xludf.DUMMYFUNCTION("""COMPUTED_VALUE"""),200.0)</f>
        <v>200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>
        <f>IFERROR(__xludf.DUMMYFUNCTION("""COMPUTED_VALUE"""),112.0)</f>
        <v>112</v>
      </c>
      <c r="B113" s="8" t="str">
        <f>IFERROR(__xludf.DUMMYFUNCTION("""COMPUTED_VALUE"""),"Cornelian")</f>
        <v>Cornelian</v>
      </c>
      <c r="C113" s="13">
        <f>IFERROR(__xludf.DUMMYFUNCTION("""COMPUTED_VALUE"""),200.0)</f>
        <v>200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>
        <f>IFERROR(__xludf.DUMMYFUNCTION("""COMPUTED_VALUE"""),113.0)</f>
        <v>113</v>
      </c>
      <c r="B114" s="8" t="str">
        <f>IFERROR(__xludf.DUMMYFUNCTION("""COMPUTED_VALUE"""),"Malaya Garnet")</f>
        <v>Malaya Garnet</v>
      </c>
      <c r="C114" s="13">
        <f>IFERROR(__xludf.DUMMYFUNCTION("""COMPUTED_VALUE"""),200.0)</f>
        <v>200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>
        <f>IFERROR(__xludf.DUMMYFUNCTION("""COMPUTED_VALUE"""),114.0)</f>
        <v>114</v>
      </c>
      <c r="B115" s="8" t="str">
        <f>IFERROR(__xludf.DUMMYFUNCTION("""COMPUTED_VALUE"""),"Sardonyx")</f>
        <v>Sardonyx</v>
      </c>
      <c r="C115" s="13">
        <f>IFERROR(__xludf.DUMMYFUNCTION("""COMPUTED_VALUE"""),200.0)</f>
        <v>200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>
        <f>IFERROR(__xludf.DUMMYFUNCTION("""COMPUTED_VALUE"""),115.0)</f>
        <v>115</v>
      </c>
      <c r="B116" s="8" t="str">
        <f>IFERROR(__xludf.DUMMYFUNCTION("""COMPUTED_VALUE"""),"Ametrine")</f>
        <v>Ametrine</v>
      </c>
      <c r="C116" s="13">
        <f>IFERROR(__xludf.DUMMYFUNCTION("""COMPUTED_VALUE"""),200.0)</f>
        <v>200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>
        <f>IFERROR(__xludf.DUMMYFUNCTION("""COMPUTED_VALUE"""),116.0)</f>
        <v>116</v>
      </c>
      <c r="B117" s="8" t="str">
        <f>IFERROR(__xludf.DUMMYFUNCTION("""COMPUTED_VALUE"""),"Cornflower Blue Sapphire")</f>
        <v>Cornflower Blue Sapphire</v>
      </c>
      <c r="C117" s="13">
        <f>IFERROR(__xludf.DUMMYFUNCTION("""COMPUTED_VALUE"""),200.0)</f>
        <v>200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>
        <f>IFERROR(__xludf.DUMMYFUNCTION("""COMPUTED_VALUE"""),117.0)</f>
        <v>117</v>
      </c>
      <c r="B118" s="8" t="str">
        <f>IFERROR(__xludf.DUMMYFUNCTION("""COMPUTED_VALUE"""),"Mali Garnet")</f>
        <v>Mali Garnet</v>
      </c>
      <c r="C118" s="13">
        <f>IFERROR(__xludf.DUMMYFUNCTION("""COMPUTED_VALUE"""),200.0)</f>
        <v>200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>
        <f>IFERROR(__xludf.DUMMYFUNCTION("""COMPUTED_VALUE"""),118.0)</f>
        <v>118</v>
      </c>
      <c r="B119" s="8" t="str">
        <f>IFERROR(__xludf.DUMMYFUNCTION("""COMPUTED_VALUE"""),"Scallop Pearl")</f>
        <v>Scallop Pearl</v>
      </c>
      <c r="C119" s="13">
        <f>IFERROR(__xludf.DUMMYFUNCTION("""COMPUTED_VALUE"""),200.0)</f>
        <v>200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>
        <f>IFERROR(__xludf.DUMMYFUNCTION("""COMPUTED_VALUE"""),119.0)</f>
        <v>119</v>
      </c>
      <c r="B120" s="8" t="str">
        <f>IFERROR(__xludf.DUMMYFUNCTION("""COMPUTED_VALUE"""),"Ancona Ruby")</f>
        <v>Ancona Ruby</v>
      </c>
      <c r="C120" s="13">
        <f>IFERROR(__xludf.DUMMYFUNCTION("""COMPUTED_VALUE"""),200.0)</f>
        <v>200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>
        <f>IFERROR(__xludf.DUMMYFUNCTION("""COMPUTED_VALUE"""),120.0)</f>
        <v>120</v>
      </c>
      <c r="B121" s="8" t="str">
        <f>IFERROR(__xludf.DUMMYFUNCTION("""COMPUTED_VALUE"""),"Cornish Diamond")</f>
        <v>Cornish Diamond</v>
      </c>
      <c r="C121" s="13">
        <f>IFERROR(__xludf.DUMMYFUNCTION("""COMPUTED_VALUE"""),200.0)</f>
        <v>200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>
        <f>IFERROR(__xludf.DUMMYFUNCTION("""COMPUTED_VALUE"""),121.0)</f>
        <v>121</v>
      </c>
      <c r="B122" s="8" t="str">
        <f>IFERROR(__xludf.DUMMYFUNCTION("""COMPUTED_VALUE"""),"Mandarin Garnet")</f>
        <v>Mandarin Garnet</v>
      </c>
      <c r="C122" s="13">
        <f>IFERROR(__xludf.DUMMYFUNCTION("""COMPUTED_VALUE"""),200.0)</f>
        <v>200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>
        <f>IFERROR(__xludf.DUMMYFUNCTION("""COMPUTED_VALUE"""),122.0)</f>
        <v>122</v>
      </c>
      <c r="B123" s="8" t="str">
        <f>IFERROR(__xludf.DUMMYFUNCTION("""COMPUTED_VALUE"""),"Schorl")</f>
        <v>Schorl</v>
      </c>
      <c r="C123" s="13">
        <f>IFERROR(__xludf.DUMMYFUNCTION("""COMPUTED_VALUE"""),200.0)</f>
        <v>200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>
        <f>IFERROR(__xludf.DUMMYFUNCTION("""COMPUTED_VALUE"""),123.0)</f>
        <v>123</v>
      </c>
      <c r="B124" s="8" t="str">
        <f>IFERROR(__xludf.DUMMYFUNCTION("""COMPUTED_VALUE"""),"Andamooka Opal")</f>
        <v>Andamooka Opal</v>
      </c>
      <c r="C124" s="13">
        <f>IFERROR(__xludf.DUMMYFUNCTION("""COMPUTED_VALUE"""),200.0)</f>
        <v>200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>
        <f>IFERROR(__xludf.DUMMYFUNCTION("""COMPUTED_VALUE"""),124.0)</f>
        <v>124</v>
      </c>
      <c r="B125" s="8" t="str">
        <f>IFERROR(__xludf.DUMMYFUNCTION("""COMPUTED_VALUE"""),"Cortez Pearl")</f>
        <v>Cortez Pearl</v>
      </c>
      <c r="C125" s="13">
        <f>IFERROR(__xludf.DUMMYFUNCTION("""COMPUTED_VALUE"""),200.0)</f>
        <v>200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>
        <f>IFERROR(__xludf.DUMMYFUNCTION("""COMPUTED_VALUE"""),125.0)</f>
        <v>125</v>
      </c>
      <c r="B126" s="8" t="str">
        <f>IFERROR(__xludf.DUMMYFUNCTION("""COMPUTED_VALUE"""),"Mandarin Spessartite")</f>
        <v>Mandarin Spessartite</v>
      </c>
      <c r="C126" s="13">
        <f>IFERROR(__xludf.DUMMYFUNCTION("""COMPUTED_VALUE"""),200.0)</f>
        <v>200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>
        <f>IFERROR(__xludf.DUMMYFUNCTION("""COMPUTED_VALUE"""),126.0)</f>
        <v>126</v>
      </c>
      <c r="B127" s="8" t="str">
        <f>IFERROR(__xludf.DUMMYFUNCTION("""COMPUTED_VALUE"""),"Sherry Topaz")</f>
        <v>Sherry Topaz</v>
      </c>
      <c r="C127" s="13">
        <f>IFERROR(__xludf.DUMMYFUNCTION("""COMPUTED_VALUE"""),200.0)</f>
        <v>200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>
        <f>IFERROR(__xludf.DUMMYFUNCTION("""COMPUTED_VALUE"""),127.0)</f>
        <v>127</v>
      </c>
      <c r="B128" s="8" t="str">
        <f>IFERROR(__xludf.DUMMYFUNCTION("""COMPUTED_VALUE"""),"Andesine-Labradorite")</f>
        <v>Andesine-Labradorite</v>
      </c>
      <c r="C128" s="13">
        <f>IFERROR(__xludf.DUMMYFUNCTION("""COMPUTED_VALUE"""),200.0)</f>
        <v>200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>
        <f>IFERROR(__xludf.DUMMYFUNCTION("""COMPUTED_VALUE"""),128.0)</f>
        <v>128</v>
      </c>
      <c r="B129" s="8" t="str">
        <f>IFERROR(__xludf.DUMMYFUNCTION("""COMPUTED_VALUE"""),"Corundum")</f>
        <v>Corundum</v>
      </c>
      <c r="C129" s="13">
        <f>IFERROR(__xludf.DUMMYFUNCTION("""COMPUTED_VALUE"""),200.0)</f>
        <v>200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>
        <f>IFERROR(__xludf.DUMMYFUNCTION("""COMPUTED_VALUE"""),129.0)</f>
        <v>129</v>
      </c>
      <c r="B130" s="8" t="str">
        <f>IFERROR(__xludf.DUMMYFUNCTION("""COMPUTED_VALUE"""),"Marmorosch Diamond")</f>
        <v>Marmorosch Diamond</v>
      </c>
      <c r="C130" s="13">
        <f>IFERROR(__xludf.DUMMYFUNCTION("""COMPUTED_VALUE"""),200.0)</f>
        <v>200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>
        <f>IFERROR(__xludf.DUMMYFUNCTION("""COMPUTED_VALUE"""),130.0)</f>
        <v>130</v>
      </c>
      <c r="B131" s="8" t="str">
        <f>IFERROR(__xludf.DUMMYFUNCTION("""COMPUTED_VALUE"""),"Siam Aquamarine")</f>
        <v>Siam Aquamarine</v>
      </c>
      <c r="C131" s="13">
        <f>IFERROR(__xludf.DUMMYFUNCTION("""COMPUTED_VALUE"""),200.0)</f>
        <v>200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>
        <f>IFERROR(__xludf.DUMMYFUNCTION("""COMPUTED_VALUE"""),131.0)</f>
        <v>131</v>
      </c>
      <c r="B132" s="8" t="str">
        <f>IFERROR(__xludf.DUMMYFUNCTION("""COMPUTED_VALUE"""),"Anyolite")</f>
        <v>Anyolite</v>
      </c>
      <c r="C132" s="13">
        <f>IFERROR(__xludf.DUMMYFUNCTION("""COMPUTED_VALUE"""),200.0)</f>
        <v>200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>
        <f>IFERROR(__xludf.DUMMYFUNCTION("""COMPUTED_VALUE"""),132.0)</f>
        <v>132</v>
      </c>
      <c r="B133" s="8" t="str">
        <f>IFERROR(__xludf.DUMMYFUNCTION("""COMPUTED_VALUE"""),"Crazy Lace Agate")</f>
        <v>Crazy Lace Agate</v>
      </c>
      <c r="C133" s="13">
        <f>IFERROR(__xludf.DUMMYFUNCTION("""COMPUTED_VALUE"""),200.0)</f>
        <v>200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>
        <f>IFERROR(__xludf.DUMMYFUNCTION("""COMPUTED_VALUE"""),133.0)</f>
        <v>133</v>
      </c>
      <c r="B134" s="8" t="str">
        <f>IFERROR(__xludf.DUMMYFUNCTION("""COMPUTED_VALUE"""),"Marra Mamba Tiger's Eye")</f>
        <v>Marra Mamba Tiger's Eye</v>
      </c>
      <c r="C134" s="13">
        <f>IFERROR(__xludf.DUMMYFUNCTION("""COMPUTED_VALUE"""),200.0)</f>
        <v>200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>
        <f>IFERROR(__xludf.DUMMYFUNCTION("""COMPUTED_VALUE"""),134.0)</f>
        <v>134</v>
      </c>
      <c r="B135" s="8" t="str">
        <f>IFERROR(__xludf.DUMMYFUNCTION("""COMPUTED_VALUE"""),"Siberian Ruby")</f>
        <v>Siberian Ruby</v>
      </c>
      <c r="C135" s="13">
        <f>IFERROR(__xludf.DUMMYFUNCTION("""COMPUTED_VALUE"""),200.0)</f>
        <v>200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>
        <f>IFERROR(__xludf.DUMMYFUNCTION("""COMPUTED_VALUE"""),135.0)</f>
        <v>135</v>
      </c>
      <c r="B136" s="8" t="str">
        <f>IFERROR(__xludf.DUMMYFUNCTION("""COMPUTED_VALUE"""),"Aquamarine")</f>
        <v>Aquamarine</v>
      </c>
      <c r="C136" s="13">
        <f>IFERROR(__xludf.DUMMYFUNCTION("""COMPUTED_VALUE"""),200.0)</f>
        <v>200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>
        <f>IFERROR(__xludf.DUMMYFUNCTION("""COMPUTED_VALUE"""),136.0)</f>
        <v>136</v>
      </c>
      <c r="B137" s="8" t="str">
        <f>IFERROR(__xludf.DUMMYFUNCTION("""COMPUTED_VALUE"""),"Csarite")</f>
        <v>Csarite</v>
      </c>
      <c r="C137" s="13">
        <f>IFERROR(__xludf.DUMMYFUNCTION("""COMPUTED_VALUE"""),200.0)</f>
        <v>200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>
        <f>IFERROR(__xludf.DUMMYFUNCTION("""COMPUTED_VALUE"""),137.0)</f>
        <v>137</v>
      </c>
      <c r="B138" s="8" t="str">
        <f>IFERROR(__xludf.DUMMYFUNCTION("""COMPUTED_VALUE"""),"Mascot Emerald")</f>
        <v>Mascot Emerald</v>
      </c>
      <c r="C138" s="13">
        <f>IFERROR(__xludf.DUMMYFUNCTION("""COMPUTED_VALUE"""),200.0)</f>
        <v>200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>
        <f>IFERROR(__xludf.DUMMYFUNCTION("""COMPUTED_VALUE"""),138.0)</f>
        <v>138</v>
      </c>
      <c r="B139" s="8" t="str">
        <f>IFERROR(__xludf.DUMMYFUNCTION("""COMPUTED_VALUE"""),"Siberite")</f>
        <v>Siberite</v>
      </c>
      <c r="C139" s="13">
        <f>IFERROR(__xludf.DUMMYFUNCTION("""COMPUTED_VALUE"""),200.0)</f>
        <v>200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>
        <f>IFERROR(__xludf.DUMMYFUNCTION("""COMPUTED_VALUE"""),139.0)</f>
        <v>139</v>
      </c>
      <c r="B140" s="8" t="str">
        <f>IFERROR(__xludf.DUMMYFUNCTION("""COMPUTED_VALUE"""),"Arizona Ruby")</f>
        <v>Arizona Ruby</v>
      </c>
      <c r="C140" s="13">
        <f>IFERROR(__xludf.DUMMYFUNCTION("""COMPUTED_VALUE"""),200.0)</f>
        <v>200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>
        <f>IFERROR(__xludf.DUMMYFUNCTION("""COMPUTED_VALUE"""),140.0)</f>
        <v>140</v>
      </c>
      <c r="B141" s="8" t="str">
        <f>IFERROR(__xludf.DUMMYFUNCTION("""COMPUTED_VALUE"""),"Cultured Pearl")</f>
        <v>Cultured Pearl</v>
      </c>
      <c r="C141" s="13">
        <f>IFERROR(__xludf.DUMMYFUNCTION("""COMPUTED_VALUE"""),200.0)</f>
        <v>200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>
        <f>IFERROR(__xludf.DUMMYFUNCTION("""COMPUTED_VALUE"""),141.0)</f>
        <v>141</v>
      </c>
      <c r="B142" s="8" t="str">
        <f>IFERROR(__xludf.DUMMYFUNCTION("""COMPUTED_VALUE"""),"Mass Aqua")</f>
        <v>Mass Aqua</v>
      </c>
      <c r="C142" s="13">
        <f>IFERROR(__xludf.DUMMYFUNCTION("""COMPUTED_VALUE"""),200.0)</f>
        <v>200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>
        <f>IFERROR(__xludf.DUMMYFUNCTION("""COMPUTED_VALUE"""),142.0)</f>
        <v>142</v>
      </c>
      <c r="B143" s="8" t="str">
        <f>IFERROR(__xludf.DUMMYFUNCTION("""COMPUTED_VALUE"""),"Silver Topaz")</f>
        <v>Silver Topaz</v>
      </c>
      <c r="C143" s="13">
        <f>IFERROR(__xludf.DUMMYFUNCTION("""COMPUTED_VALUE"""),200.0)</f>
        <v>200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>
        <f>IFERROR(__xludf.DUMMYFUNCTION("""COMPUTED_VALUE"""),143.0)</f>
        <v>143</v>
      </c>
      <c r="B144" s="8" t="str">
        <f>IFERROR(__xludf.DUMMYFUNCTION("""COMPUTED_VALUE"""),"Arizona Tiger's Eye")</f>
        <v>Arizona Tiger's Eye</v>
      </c>
      <c r="C144" s="13">
        <f>IFERROR(__xludf.DUMMYFUNCTION("""COMPUTED_VALUE"""),200.0)</f>
        <v>200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>
        <f>IFERROR(__xludf.DUMMYFUNCTION("""COMPUTED_VALUE"""),144.0)</f>
        <v>144</v>
      </c>
      <c r="B145" s="8" t="str">
        <f>IFERROR(__xludf.DUMMYFUNCTION("""COMPUTED_VALUE"""),"Cyanite")</f>
        <v>Cyanite</v>
      </c>
      <c r="C145" s="13">
        <f>IFERROR(__xludf.DUMMYFUNCTION("""COMPUTED_VALUE"""),200.0)</f>
        <v>200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>
        <f>IFERROR(__xludf.DUMMYFUNCTION("""COMPUTED_VALUE"""),145.0)</f>
        <v>145</v>
      </c>
      <c r="B146" s="8" t="str">
        <f>IFERROR(__xludf.DUMMYFUNCTION("""COMPUTED_VALUE"""),"Matura Diamond")</f>
        <v>Matura Diamond</v>
      </c>
      <c r="C146" s="13">
        <f>IFERROR(__xludf.DUMMYFUNCTION("""COMPUTED_VALUE"""),200.0)</f>
        <v>200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>
        <f>IFERROR(__xludf.DUMMYFUNCTION("""COMPUTED_VALUE"""),146.0)</f>
        <v>146</v>
      </c>
      <c r="B147" s="8" t="str">
        <f>IFERROR(__xludf.DUMMYFUNCTION("""COMPUTED_VALUE"""),"Simetite")</f>
        <v>Simetite</v>
      </c>
      <c r="C147" s="13">
        <f>IFERROR(__xludf.DUMMYFUNCTION("""COMPUTED_VALUE"""),200.0)</f>
        <v>200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>
        <f>IFERROR(__xludf.DUMMYFUNCTION("""COMPUTED_VALUE"""),147.0)</f>
        <v>147</v>
      </c>
      <c r="B148" s="8" t="str">
        <f>IFERROR(__xludf.DUMMYFUNCTION("""COMPUTED_VALUE"""),"Arkansas Diamond")</f>
        <v>Arkansas Diamond</v>
      </c>
      <c r="C148" s="13">
        <f>IFERROR(__xludf.DUMMYFUNCTION("""COMPUTED_VALUE"""),200.0)</f>
        <v>200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>
        <f>IFERROR(__xludf.DUMMYFUNCTION("""COMPUTED_VALUE"""),148.0)</f>
        <v>148</v>
      </c>
      <c r="B149" s="8" t="str">
        <f>IFERROR(__xludf.DUMMYFUNCTION("""COMPUTED_VALUE"""),"Cymophane")</f>
        <v>Cymophane</v>
      </c>
      <c r="C149" s="13">
        <f>IFERROR(__xludf.DUMMYFUNCTION("""COMPUTED_VALUE"""),200.0)</f>
        <v>200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>
        <f>IFERROR(__xludf.DUMMYFUNCTION("""COMPUTED_VALUE"""),149.0)</f>
        <v>149</v>
      </c>
      <c r="B150" s="8" t="str">
        <f>IFERROR(__xludf.DUMMYFUNCTION("""COMPUTED_VALUE"""),"Medina Emerald")</f>
        <v>Medina Emerald</v>
      </c>
      <c r="C150" s="13">
        <f>IFERROR(__xludf.DUMMYFUNCTION("""COMPUTED_VALUE"""),200.0)</f>
        <v>200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>
        <f>IFERROR(__xludf.DUMMYFUNCTION("""COMPUTED_VALUE"""),150.0)</f>
        <v>150</v>
      </c>
      <c r="B151" s="8" t="str">
        <f>IFERROR(__xludf.DUMMYFUNCTION("""COMPUTED_VALUE"""),"Slocum Stone")</f>
        <v>Slocum Stone</v>
      </c>
      <c r="C151" s="13">
        <f>IFERROR(__xludf.DUMMYFUNCTION("""COMPUTED_VALUE"""),200.0)</f>
        <v>200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>
        <f>IFERROR(__xludf.DUMMYFUNCTION("""COMPUTED_VALUE"""),151.0)</f>
        <v>151</v>
      </c>
      <c r="B152" s="8" t="str">
        <f>IFERROR(__xludf.DUMMYFUNCTION("""COMPUTED_VALUE"""),"Australian Jade")</f>
        <v>Australian Jade</v>
      </c>
      <c r="C152" s="13">
        <f>IFERROR(__xludf.DUMMYFUNCTION("""COMPUTED_VALUE"""),200.0)</f>
        <v>200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>
        <f>IFERROR(__xludf.DUMMYFUNCTION("""COMPUTED_VALUE"""),152.0)</f>
        <v>152</v>
      </c>
      <c r="B153" s="8" t="str">
        <f>IFERROR(__xludf.DUMMYFUNCTION("""COMPUTED_VALUE"""),"Czochralski Alexandrite")</f>
        <v>Czochralski Alexandrite</v>
      </c>
      <c r="C153" s="13">
        <f>IFERROR(__xludf.DUMMYFUNCTION("""COMPUTED_VALUE"""),200.0)</f>
        <v>200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>
        <f>IFERROR(__xludf.DUMMYFUNCTION("""COMPUTED_VALUE"""),153.0)</f>
        <v>153</v>
      </c>
      <c r="B154" s="8" t="str">
        <f>IFERROR(__xludf.DUMMYFUNCTION("""COMPUTED_VALUE"""),"Melanite")</f>
        <v>Melanite</v>
      </c>
      <c r="C154" s="13">
        <f>IFERROR(__xludf.DUMMYFUNCTION("""COMPUTED_VALUE"""),200.0)</f>
        <v>200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>
        <f>IFERROR(__xludf.DUMMYFUNCTION("""COMPUTED_VALUE"""),154.0)</f>
        <v>154</v>
      </c>
      <c r="B155" s="8" t="str">
        <f>IFERROR(__xludf.DUMMYFUNCTION("""COMPUTED_VALUE"""),"Smokey Quartz")</f>
        <v>Smokey Quartz</v>
      </c>
      <c r="C155" s="13">
        <f>IFERROR(__xludf.DUMMYFUNCTION("""COMPUTED_VALUE"""),200.0)</f>
        <v>200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>
        <f>IFERROR(__xludf.DUMMYFUNCTION("""COMPUTED_VALUE"""),155.0)</f>
        <v>155</v>
      </c>
      <c r="B156" s="8" t="str">
        <f>IFERROR(__xludf.DUMMYFUNCTION("""COMPUTED_VALUE"""),"Australian Ruby")</f>
        <v>Australian Ruby</v>
      </c>
      <c r="C156" s="13">
        <f>IFERROR(__xludf.DUMMYFUNCTION("""COMPUTED_VALUE"""),200.0)</f>
        <v>200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>
        <f>IFERROR(__xludf.DUMMYFUNCTION("""COMPUTED_VALUE"""),156.0)</f>
        <v>156</v>
      </c>
      <c r="B157" s="8" t="str">
        <f>IFERROR(__xludf.DUMMYFUNCTION("""COMPUTED_VALUE"""),"Dauphine Diamond")</f>
        <v>Dauphine Diamond</v>
      </c>
      <c r="C157" s="13">
        <f>IFERROR(__xludf.DUMMYFUNCTION("""COMPUTED_VALUE"""),200.0)</f>
        <v>200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>
        <f>IFERROR(__xludf.DUMMYFUNCTION("""COMPUTED_VALUE"""),157.0)</f>
        <v>157</v>
      </c>
      <c r="B158" s="8" t="str">
        <f>IFERROR(__xludf.DUMMYFUNCTION("""COMPUTED_VALUE"""),"Melo Pearl")</f>
        <v>Melo Pearl</v>
      </c>
      <c r="C158" s="13">
        <f>IFERROR(__xludf.DUMMYFUNCTION("""COMPUTED_VALUE"""),200.0)</f>
        <v>200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>
        <f>IFERROR(__xludf.DUMMYFUNCTION("""COMPUTED_VALUE"""),158.0)</f>
        <v>158</v>
      </c>
      <c r="B159" s="8" t="str">
        <f>IFERROR(__xludf.DUMMYFUNCTION("""COMPUTED_VALUE"""),"Smoky Quartz")</f>
        <v>Smoky Quartz</v>
      </c>
      <c r="C159" s="13">
        <f>IFERROR(__xludf.DUMMYFUNCTION("""COMPUTED_VALUE"""),200.0)</f>
        <v>200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>
        <f>IFERROR(__xludf.DUMMYFUNCTION("""COMPUTED_VALUE"""),159.0)</f>
        <v>159</v>
      </c>
      <c r="B160" s="8" t="str">
        <f>IFERROR(__xludf.DUMMYFUNCTION("""COMPUTED_VALUE"""),"Australian Sapphire")</f>
        <v>Australian Sapphire</v>
      </c>
      <c r="C160" s="13">
        <f>IFERROR(__xludf.DUMMYFUNCTION("""COMPUTED_VALUE"""),200.0)</f>
        <v>200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>
        <f>IFERROR(__xludf.DUMMYFUNCTION("""COMPUTED_VALUE"""),160.0)</f>
        <v>160</v>
      </c>
      <c r="B161" s="8" t="str">
        <f>IFERROR(__xludf.DUMMYFUNCTION("""COMPUTED_VALUE"""),"Demantoid")</f>
        <v>Demantoid</v>
      </c>
      <c r="C161" s="13">
        <f>IFERROR(__xludf.DUMMYFUNCTION("""COMPUTED_VALUE"""),200.0)</f>
        <v>200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>
        <f>IFERROR(__xludf.DUMMYFUNCTION("""COMPUTED_VALUE"""),161.0)</f>
        <v>161</v>
      </c>
      <c r="B162" s="8" t="str">
        <f>IFERROR(__xludf.DUMMYFUNCTION("""COMPUTED_VALUE"""),"Mexican Fire Opal")</f>
        <v>Mexican Fire Opal</v>
      </c>
      <c r="C162" s="13">
        <f>IFERROR(__xludf.DUMMYFUNCTION("""COMPUTED_VALUE"""),200.0)</f>
        <v>200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>
        <f>IFERROR(__xludf.DUMMYFUNCTION("""COMPUTED_VALUE"""),162.0)</f>
        <v>162</v>
      </c>
      <c r="B163" s="8" t="str">
        <f>IFERROR(__xludf.DUMMYFUNCTION("""COMPUTED_VALUE"""),"Smoky Topaz")</f>
        <v>Smoky Topaz</v>
      </c>
      <c r="C163" s="13">
        <f>IFERROR(__xludf.DUMMYFUNCTION("""COMPUTED_VALUE"""),200.0)</f>
        <v>200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>
        <f>IFERROR(__xludf.DUMMYFUNCTION("""COMPUTED_VALUE"""),163.0)</f>
        <v>163</v>
      </c>
      <c r="B164" s="8" t="str">
        <f>IFERROR(__xludf.DUMMYFUNCTION("""COMPUTED_VALUE"""),"Aventurine")</f>
        <v>Aventurine</v>
      </c>
      <c r="C164" s="13">
        <f>IFERROR(__xludf.DUMMYFUNCTION("""COMPUTED_VALUE"""),200.0)</f>
        <v>200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>
        <f>IFERROR(__xludf.DUMMYFUNCTION("""COMPUTED_VALUE"""),164.0)</f>
        <v>164</v>
      </c>
      <c r="B165" s="8" t="str">
        <f>IFERROR(__xludf.DUMMYFUNCTION("""COMPUTED_VALUE"""),"Dendritic Agate")</f>
        <v>Dendritic Agate</v>
      </c>
      <c r="C165" s="13">
        <f>IFERROR(__xludf.DUMMYFUNCTION("""COMPUTED_VALUE"""),200.0)</f>
        <v>200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>
        <f>IFERROR(__xludf.DUMMYFUNCTION("""COMPUTED_VALUE"""),165.0)</f>
        <v>165</v>
      </c>
      <c r="B166" s="8" t="str">
        <f>IFERROR(__xludf.DUMMYFUNCTION("""COMPUTED_VALUE"""),"Milky Quartz")</f>
        <v>Milky Quartz</v>
      </c>
      <c r="C166" s="13">
        <f>IFERROR(__xludf.DUMMYFUNCTION("""COMPUTED_VALUE"""),200.0)</f>
        <v>200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>
        <f>IFERROR(__xludf.DUMMYFUNCTION("""COMPUTED_VALUE"""),166.0)</f>
        <v>166</v>
      </c>
      <c r="B167" s="8" t="str">
        <f>IFERROR(__xludf.DUMMYFUNCTION("""COMPUTED_VALUE"""),"Snakeskin Agate")</f>
        <v>Snakeskin Agate</v>
      </c>
      <c r="C167" s="13">
        <f>IFERROR(__xludf.DUMMYFUNCTION("""COMPUTED_VALUE"""),200.0)</f>
        <v>200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>
        <f>IFERROR(__xludf.DUMMYFUNCTION("""COMPUTED_VALUE"""),167.0)</f>
        <v>167</v>
      </c>
      <c r="B168" s="8" t="str">
        <f>IFERROR(__xludf.DUMMYFUNCTION("""COMPUTED_VALUE"""),"Aventurine Feldspar")</f>
        <v>Aventurine Feldspar</v>
      </c>
      <c r="C168" s="13">
        <f>IFERROR(__xludf.DUMMYFUNCTION("""COMPUTED_VALUE"""),200.0)</f>
        <v>200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>
        <f>IFERROR(__xludf.DUMMYFUNCTION("""COMPUTED_VALUE"""),168.0)</f>
        <v>168</v>
      </c>
      <c r="B169" s="8" t="str">
        <f>IFERROR(__xludf.DUMMYFUNCTION("""COMPUTED_VALUE"""),"Deschutes Jasper")</f>
        <v>Deschutes Jasper</v>
      </c>
      <c r="C169" s="13">
        <f>IFERROR(__xludf.DUMMYFUNCTION("""COMPUTED_VALUE"""),200.0)</f>
        <v>200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>
        <f>IFERROR(__xludf.DUMMYFUNCTION("""COMPUTED_VALUE"""),169.0)</f>
        <v>169</v>
      </c>
      <c r="B170" s="8" t="str">
        <f>IFERROR(__xludf.DUMMYFUNCTION("""COMPUTED_VALUE"""),"Mint Garnet")</f>
        <v>Mint Garnet</v>
      </c>
      <c r="C170" s="13">
        <f>IFERROR(__xludf.DUMMYFUNCTION("""COMPUTED_VALUE"""),200.0)</f>
        <v>200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>
        <f>IFERROR(__xludf.DUMMYFUNCTION("""COMPUTED_VALUE"""),170.0)</f>
        <v>170</v>
      </c>
      <c r="B171" s="8" t="str">
        <f>IFERROR(__xludf.DUMMYFUNCTION("""COMPUTED_VALUE"""),"South African Emerald")</f>
        <v>South African Emerald</v>
      </c>
      <c r="C171" s="13">
        <f>IFERROR(__xludf.DUMMYFUNCTION("""COMPUTED_VALUE"""),200.0)</f>
        <v>200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>
        <f>IFERROR(__xludf.DUMMYFUNCTION("""COMPUTED_VALUE"""),171.0)</f>
        <v>171</v>
      </c>
      <c r="B172" s="8" t="str">
        <f>IFERROR(__xludf.DUMMYFUNCTION("""COMPUTED_VALUE"""),"Aventurine Quartz")</f>
        <v>Aventurine Quartz</v>
      </c>
      <c r="C172" s="13">
        <f>IFERROR(__xludf.DUMMYFUNCTION("""COMPUTED_VALUE"""),200.0)</f>
        <v>200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>
        <f>IFERROR(__xludf.DUMMYFUNCTION("""COMPUTED_VALUE"""),172.0)</f>
        <v>172</v>
      </c>
      <c r="B173" s="8" t="str">
        <f>IFERROR(__xludf.DUMMYFUNCTION("""COMPUTED_VALUE"""),"Dichroite")</f>
        <v>Dichroite</v>
      </c>
      <c r="C173" s="13">
        <f>IFERROR(__xludf.DUMMYFUNCTION("""COMPUTED_VALUE"""),200.0)</f>
        <v>200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>
        <f>IFERROR(__xludf.DUMMYFUNCTION("""COMPUTED_VALUE"""),173.0)</f>
        <v>173</v>
      </c>
      <c r="B174" s="8" t="str">
        <f>IFERROR(__xludf.DUMMYFUNCTION("""COMPUTED_VALUE"""),"Montana Ruby")</f>
        <v>Montana Ruby</v>
      </c>
      <c r="C174" s="13">
        <f>IFERROR(__xludf.DUMMYFUNCTION("""COMPUTED_VALUE"""),200.0)</f>
        <v>200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>
        <f>IFERROR(__xludf.DUMMYFUNCTION("""COMPUTED_VALUE"""),174.0)</f>
        <v>174</v>
      </c>
      <c r="B175" s="8" t="str">
        <f>IFERROR(__xludf.DUMMYFUNCTION("""COMPUTED_VALUE"""),"South African Jade")</f>
        <v>South African Jade</v>
      </c>
      <c r="C175" s="13">
        <f>IFERROR(__xludf.DUMMYFUNCTION("""COMPUTED_VALUE"""),200.0)</f>
        <v>200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>
        <f>IFERROR(__xludf.DUMMYFUNCTION("""COMPUTED_VALUE"""),175.0)</f>
        <v>175</v>
      </c>
      <c r="B176" s="8" t="str">
        <f>IFERROR(__xludf.DUMMYFUNCTION("""COMPUTED_VALUE"""),"Azotic Topaz")</f>
        <v>Azotic Topaz</v>
      </c>
      <c r="C176" s="13">
        <f>IFERROR(__xludf.DUMMYFUNCTION("""COMPUTED_VALUE"""),200.0)</f>
        <v>200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>
        <f>IFERROR(__xludf.DUMMYFUNCTION("""COMPUTED_VALUE"""),176.0)</f>
        <v>176</v>
      </c>
      <c r="B177" s="8" t="str">
        <f>IFERROR(__xludf.DUMMYFUNCTION("""COMPUTED_VALUE"""),"Dominican Amber")</f>
        <v>Dominican Amber</v>
      </c>
      <c r="C177" s="13">
        <f>IFERROR(__xludf.DUMMYFUNCTION("""COMPUTED_VALUE"""),200.0)</f>
        <v>200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>
        <f>IFERROR(__xludf.DUMMYFUNCTION("""COMPUTED_VALUE"""),177.0)</f>
        <v>177</v>
      </c>
      <c r="B178" s="8" t="str">
        <f>IFERROR(__xludf.DUMMYFUNCTION("""COMPUTED_VALUE"""),"Morgan Hill Jasper")</f>
        <v>Morgan Hill Jasper</v>
      </c>
      <c r="C178" s="13">
        <f>IFERROR(__xludf.DUMMYFUNCTION("""COMPUTED_VALUE"""),200.0)</f>
        <v>200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>
        <f>IFERROR(__xludf.DUMMYFUNCTION("""COMPUTED_VALUE"""),178.0)</f>
        <v>178</v>
      </c>
      <c r="B179" s="8" t="str">
        <f>IFERROR(__xludf.DUMMYFUNCTION("""COMPUTED_VALUE"""),"South Sea Pearl")</f>
        <v>South Sea Pearl</v>
      </c>
      <c r="C179" s="13">
        <f>IFERROR(__xludf.DUMMYFUNCTION("""COMPUTED_VALUE"""),200.0)</f>
        <v>200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>
        <f>IFERROR(__xludf.DUMMYFUNCTION("""COMPUTED_VALUE"""),179.0)</f>
        <v>179</v>
      </c>
      <c r="B180" s="8" t="str">
        <f>IFERROR(__xludf.DUMMYFUNCTION("""COMPUTED_VALUE"""),"Azure-Malachite")</f>
        <v>Azure-Malachite</v>
      </c>
      <c r="C180" s="13">
        <f>IFERROR(__xludf.DUMMYFUNCTION("""COMPUTED_VALUE"""),200.0)</f>
        <v>200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>
        <f>IFERROR(__xludf.DUMMYFUNCTION("""COMPUTED_VALUE"""),180.0)</f>
        <v>180</v>
      </c>
      <c r="B181" s="8" t="str">
        <f>IFERROR(__xludf.DUMMYFUNCTION("""COMPUTED_VALUE"""),"Dravite")</f>
        <v>Dravite</v>
      </c>
      <c r="C181" s="13">
        <f>IFERROR(__xludf.DUMMYFUNCTION("""COMPUTED_VALUE"""),200.0)</f>
        <v>200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>
        <f>IFERROR(__xludf.DUMMYFUNCTION("""COMPUTED_VALUE"""),181.0)</f>
        <v>181</v>
      </c>
      <c r="B182" s="8" t="str">
        <f>IFERROR(__xludf.DUMMYFUNCTION("""COMPUTED_VALUE"""),"Morganite")</f>
        <v>Morganite</v>
      </c>
      <c r="C182" s="13">
        <f>IFERROR(__xludf.DUMMYFUNCTION("""COMPUTED_VALUE"""),200.0)</f>
        <v>200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>
        <f>IFERROR(__xludf.DUMMYFUNCTION("""COMPUTED_VALUE"""),182.0)</f>
        <v>182</v>
      </c>
      <c r="B183" s="8" t="str">
        <f>IFERROR(__xludf.DUMMYFUNCTION("""COMPUTED_VALUE"""),"Spanish Emerald")</f>
        <v>Spanish Emerald</v>
      </c>
      <c r="C183" s="13">
        <f>IFERROR(__xludf.DUMMYFUNCTION("""COMPUTED_VALUE"""),200.0)</f>
        <v>200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>
        <f>IFERROR(__xludf.DUMMYFUNCTION("""COMPUTED_VALUE"""),183.0)</f>
        <v>183</v>
      </c>
      <c r="B184" s="8" t="str">
        <f>IFERROR(__xludf.DUMMYFUNCTION("""COMPUTED_VALUE"""),"Baffa Diamond")</f>
        <v>Baffa Diamond</v>
      </c>
      <c r="C184" s="13">
        <f>IFERROR(__xludf.DUMMYFUNCTION("""COMPUTED_VALUE"""),200.0)</f>
        <v>200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>
        <f>IFERROR(__xludf.DUMMYFUNCTION("""COMPUTED_VALUE"""),184.0)</f>
        <v>184</v>
      </c>
      <c r="B185" s="8" t="str">
        <f>IFERROR(__xludf.DUMMYFUNCTION("""COMPUTED_VALUE"""),"Dumortierite Quartz")</f>
        <v>Dumortierite Quartz</v>
      </c>
      <c r="C185" s="13">
        <f>IFERROR(__xludf.DUMMYFUNCTION("""COMPUTED_VALUE"""),200.0)</f>
        <v>200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>
        <f>IFERROR(__xludf.DUMMYFUNCTION("""COMPUTED_VALUE"""),185.0)</f>
        <v>185</v>
      </c>
      <c r="B186" s="8" t="str">
        <f>IFERROR(__xludf.DUMMYFUNCTION("""COMPUTED_VALUE"""),"Morion")</f>
        <v>Morion</v>
      </c>
      <c r="C186" s="13">
        <f>IFERROR(__xludf.DUMMYFUNCTION("""COMPUTED_VALUE"""),200.0)</f>
        <v>200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>
        <f>IFERROR(__xludf.DUMMYFUNCTION("""COMPUTED_VALUE"""),186.0)</f>
        <v>186</v>
      </c>
      <c r="B187" s="8" t="str">
        <f>IFERROR(__xludf.DUMMYFUNCTION("""COMPUTED_VALUE"""),"Spanish Topaz")</f>
        <v>Spanish Topaz</v>
      </c>
      <c r="C187" s="13">
        <f>IFERROR(__xludf.DUMMYFUNCTION("""COMPUTED_VALUE"""),200.0)</f>
        <v>200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>
        <f>IFERROR(__xludf.DUMMYFUNCTION("""COMPUTED_VALUE"""),187.0)</f>
        <v>187</v>
      </c>
      <c r="B188" s="8" t="str">
        <f>IFERROR(__xludf.DUMMYFUNCTION("""COMPUTED_VALUE"""),"Bahia Blue Quartz")</f>
        <v>Bahia Blue Quartz</v>
      </c>
      <c r="C188" s="13">
        <f>IFERROR(__xludf.DUMMYFUNCTION("""COMPUTED_VALUE"""),200.0)</f>
        <v>200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>
        <f>IFERROR(__xludf.DUMMYFUNCTION("""COMPUTED_VALUE"""),188.0)</f>
        <v>188</v>
      </c>
      <c r="B189" s="8" t="str">
        <f>IFERROR(__xludf.DUMMYFUNCTION("""COMPUTED_VALUE"""),"Egyptian Jasper")</f>
        <v>Egyptian Jasper</v>
      </c>
      <c r="C189" s="13">
        <f>IFERROR(__xludf.DUMMYFUNCTION("""COMPUTED_VALUE"""),200.0)</f>
        <v>200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>
        <f>IFERROR(__xludf.DUMMYFUNCTION("""COMPUTED_VALUE"""),189.0)</f>
        <v>189</v>
      </c>
      <c r="B190" s="8" t="str">
        <f>IFERROR(__xludf.DUMMYFUNCTION("""COMPUTED_VALUE"""),"Morrisonite")</f>
        <v>Morrisonite</v>
      </c>
      <c r="C190" s="13">
        <f>IFERROR(__xludf.DUMMYFUNCTION("""COMPUTED_VALUE"""),200.0)</f>
        <v>200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>
        <f>IFERROR(__xludf.DUMMYFUNCTION("""COMPUTED_VALUE"""),190.0)</f>
        <v>190</v>
      </c>
      <c r="B191" s="8" t="str">
        <f>IFERROR(__xludf.DUMMYFUNCTION("""COMPUTED_VALUE"""),"Spectrolite")</f>
        <v>Spectrolite</v>
      </c>
      <c r="C191" s="13">
        <f>IFERROR(__xludf.DUMMYFUNCTION("""COMPUTED_VALUE"""),200.0)</f>
        <v>200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>
        <f>IFERROR(__xludf.DUMMYFUNCTION("""COMPUTED_VALUE"""),191.0)</f>
        <v>191</v>
      </c>
      <c r="B192" s="8" t="str">
        <f>IFERROR(__xludf.DUMMYFUNCTION("""COMPUTED_VALUE"""),"Bahia Topaz")</f>
        <v>Bahia Topaz</v>
      </c>
      <c r="C192" s="13">
        <f>IFERROR(__xludf.DUMMYFUNCTION("""COMPUTED_VALUE"""),200.0)</f>
        <v>200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>
        <f>IFERROR(__xludf.DUMMYFUNCTION("""COMPUTED_VALUE"""),192.0)</f>
        <v>192</v>
      </c>
      <c r="B193" s="8" t="str">
        <f>IFERROR(__xludf.DUMMYFUNCTION("""COMPUTED_VALUE"""),"Eilat Stone")</f>
        <v>Eilat Stone</v>
      </c>
      <c r="C193" s="13">
        <f>IFERROR(__xludf.DUMMYFUNCTION("""COMPUTED_VALUE"""),200.0)</f>
        <v>200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>
        <f>IFERROR(__xludf.DUMMYFUNCTION("""COMPUTED_VALUE"""),193.0)</f>
        <v>193</v>
      </c>
      <c r="B194" s="8" t="str">
        <f>IFERROR(__xludf.DUMMYFUNCTION("""COMPUTED_VALUE"""),"Moss Agate")</f>
        <v>Moss Agate</v>
      </c>
      <c r="C194" s="13">
        <f>IFERROR(__xludf.DUMMYFUNCTION("""COMPUTED_VALUE"""),200.0)</f>
        <v>200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>
        <f>IFERROR(__xludf.DUMMYFUNCTION("""COMPUTED_VALUE"""),194.0)</f>
        <v>194</v>
      </c>
      <c r="B195" s="8" t="str">
        <f>IFERROR(__xludf.DUMMYFUNCTION("""COMPUTED_VALUE"""),"Spessartine")</f>
        <v>Spessartine</v>
      </c>
      <c r="C195" s="13">
        <f>IFERROR(__xludf.DUMMYFUNCTION("""COMPUTED_VALUE"""),200.0)</f>
        <v>200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>
        <f>IFERROR(__xludf.DUMMYFUNCTION("""COMPUTED_VALUE"""),195.0)</f>
        <v>195</v>
      </c>
      <c r="B196" s="8" t="str">
        <f>IFERROR(__xludf.DUMMYFUNCTION("""COMPUTED_VALUE"""),"Balas Ruby")</f>
        <v>Balas Ruby</v>
      </c>
      <c r="C196" s="13">
        <f>IFERROR(__xludf.DUMMYFUNCTION("""COMPUTED_VALUE"""),200.0)</f>
        <v>200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>
        <f>IFERROR(__xludf.DUMMYFUNCTION("""COMPUTED_VALUE"""),196.0)</f>
        <v>196</v>
      </c>
      <c r="B197" s="8" t="str">
        <f>IFERROR(__xludf.DUMMYFUNCTION("""COMPUTED_VALUE"""),"Elbaite")</f>
        <v>Elbaite</v>
      </c>
      <c r="C197" s="13">
        <f>IFERROR(__xludf.DUMMYFUNCTION("""COMPUTED_VALUE"""),200.0)</f>
        <v>200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>
        <f>IFERROR(__xludf.DUMMYFUNCTION("""COMPUTED_VALUE"""),197.0)</f>
        <v>197</v>
      </c>
      <c r="B198" s="8" t="str">
        <f>IFERROR(__xludf.DUMMYFUNCTION("""COMPUTED_VALUE"""),"Moss Jasper")</f>
        <v>Moss Jasper</v>
      </c>
      <c r="C198" s="13">
        <f>IFERROR(__xludf.DUMMYFUNCTION("""COMPUTED_VALUE"""),200.0)</f>
        <v>200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>
        <f>IFERROR(__xludf.DUMMYFUNCTION("""COMPUTED_VALUE"""),198.0)</f>
        <v>198</v>
      </c>
      <c r="B199" s="8" t="str">
        <f>IFERROR(__xludf.DUMMYFUNCTION("""COMPUTED_VALUE"""),"Spinel Ruby")</f>
        <v>Spinel Ruby</v>
      </c>
      <c r="C199" s="13">
        <f>IFERROR(__xludf.DUMMYFUNCTION("""COMPUTED_VALUE"""),200.0)</f>
        <v>200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>
        <f>IFERROR(__xludf.DUMMYFUNCTION("""COMPUTED_VALUE"""),199.0)</f>
        <v>199</v>
      </c>
      <c r="B200" s="8" t="str">
        <f>IFERROR(__xludf.DUMMYFUNCTION("""COMPUTED_VALUE"""),"Baltic Amber")</f>
        <v>Baltic Amber</v>
      </c>
      <c r="C200" s="13">
        <f>IFERROR(__xludf.DUMMYFUNCTION("""COMPUTED_VALUE"""),200.0)</f>
        <v>200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>
        <f>IFERROR(__xludf.DUMMYFUNCTION("""COMPUTED_VALUE"""),200.0)</f>
        <v>200</v>
      </c>
      <c r="B201" s="8" t="str">
        <f>IFERROR(__xludf.DUMMYFUNCTION("""COMPUTED_VALUE"""),"Elie Ruby")</f>
        <v>Elie Ruby</v>
      </c>
      <c r="C201" s="13">
        <f>IFERROR(__xludf.DUMMYFUNCTION("""COMPUTED_VALUE"""),300.0)</f>
        <v>300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>
        <f>IFERROR(__xludf.DUMMYFUNCTION("""COMPUTED_VALUE"""),201.0)</f>
        <v>201</v>
      </c>
      <c r="B202" s="8" t="str">
        <f>IFERROR(__xludf.DUMMYFUNCTION("""COMPUTED_VALUE"""),"Moss Opal")</f>
        <v>Moss Opal</v>
      </c>
      <c r="C202" s="13">
        <f>IFERROR(__xludf.DUMMYFUNCTION("""COMPUTED_VALUE"""),300.0)</f>
        <v>300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>
        <f>IFERROR(__xludf.DUMMYFUNCTION("""COMPUTED_VALUE"""),202.0)</f>
        <v>202</v>
      </c>
      <c r="B203" s="8" t="str">
        <f>IFERROR(__xludf.DUMMYFUNCTION("""COMPUTED_VALUE"""),"Spinell")</f>
        <v>Spinell</v>
      </c>
      <c r="C203" s="13">
        <f>IFERROR(__xludf.DUMMYFUNCTION("""COMPUTED_VALUE"""),300.0)</f>
        <v>300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>
        <f>IFERROR(__xludf.DUMMYFUNCTION("""COMPUTED_VALUE"""),203.0)</f>
        <v>203</v>
      </c>
      <c r="B204" s="8" t="str">
        <f>IFERROR(__xludf.DUMMYFUNCTION("""COMPUTED_VALUE"""),"Banded Opal")</f>
        <v>Banded Opal</v>
      </c>
      <c r="C204" s="13">
        <f>IFERROR(__xludf.DUMMYFUNCTION("""COMPUTED_VALUE"""),300.0)</f>
        <v>300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>
        <f>IFERROR(__xludf.DUMMYFUNCTION("""COMPUTED_VALUE"""),204.0)</f>
        <v>204</v>
      </c>
      <c r="B205" s="8" t="str">
        <f>IFERROR(__xludf.DUMMYFUNCTION("""COMPUTED_VALUE"""),"Emerald")</f>
        <v>Emerald</v>
      </c>
      <c r="C205" s="13">
        <f>IFERROR(__xludf.DUMMYFUNCTION("""COMPUTED_VALUE"""),300.0)</f>
        <v>300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>
        <f>IFERROR(__xludf.DUMMYFUNCTION("""COMPUTED_VALUE"""),205.0)</f>
        <v>205</v>
      </c>
      <c r="B206" s="8" t="str">
        <f>IFERROR(__xludf.DUMMYFUNCTION("""COMPUTED_VALUE"""),"Mount Saint Helen's Emerald")</f>
        <v>Mount Saint Helen's Emerald</v>
      </c>
      <c r="C206" s="13">
        <f>IFERROR(__xludf.DUMMYFUNCTION("""COMPUTED_VALUE"""),300.0)</f>
        <v>300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>
        <f>IFERROR(__xludf.DUMMYFUNCTION("""COMPUTED_VALUE"""),206.0)</f>
        <v>206</v>
      </c>
      <c r="B207" s="8" t="str">
        <f>IFERROR(__xludf.DUMMYFUNCTION("""COMPUTED_VALUE"""),"Star Diopside")</f>
        <v>Star Diopside</v>
      </c>
      <c r="C207" s="13">
        <f>IFERROR(__xludf.DUMMYFUNCTION("""COMPUTED_VALUE"""),300.0)</f>
        <v>300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>
        <f>IFERROR(__xludf.DUMMYFUNCTION("""COMPUTED_VALUE"""),207.0)</f>
        <v>207</v>
      </c>
      <c r="B208" s="8" t="str">
        <f>IFERROR(__xludf.DUMMYFUNCTION("""COMPUTED_VALUE"""),"Bengal Amethyst")</f>
        <v>Bengal Amethyst</v>
      </c>
      <c r="C208" s="13">
        <f>IFERROR(__xludf.DUMMYFUNCTION("""COMPUTED_VALUE"""),300.0)</f>
        <v>300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>
        <f>IFERROR(__xludf.DUMMYFUNCTION("""COMPUTED_VALUE"""),208.0)</f>
        <v>208</v>
      </c>
      <c r="B209" s="8" t="str">
        <f>IFERROR(__xludf.DUMMYFUNCTION("""COMPUTED_VALUE"""),"Emeraldine")</f>
        <v>Emeraldine</v>
      </c>
      <c r="C209" s="13">
        <f>IFERROR(__xludf.DUMMYFUNCTION("""COMPUTED_VALUE"""),300.0)</f>
        <v>300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>
        <f>IFERROR(__xludf.DUMMYFUNCTION("""COMPUTED_VALUE"""),209.0)</f>
        <v>209</v>
      </c>
      <c r="B210" s="8" t="str">
        <f>IFERROR(__xludf.DUMMYFUNCTION("""COMPUTED_VALUE"""),"Mozambique Garnet")</f>
        <v>Mozambique Garnet</v>
      </c>
      <c r="C210" s="13">
        <f>IFERROR(__xludf.DUMMYFUNCTION("""COMPUTED_VALUE"""),300.0)</f>
        <v>300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>
        <f>IFERROR(__xludf.DUMMYFUNCTION("""COMPUTED_VALUE"""),210.0)</f>
        <v>210</v>
      </c>
      <c r="B211" s="8" t="str">
        <f>IFERROR(__xludf.DUMMYFUNCTION("""COMPUTED_VALUE"""),"Star Emerald")</f>
        <v>Star Emerald</v>
      </c>
      <c r="C211" s="13">
        <f>IFERROR(__xludf.DUMMYFUNCTION("""COMPUTED_VALUE"""),300.0)</f>
        <v>300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>
        <f>IFERROR(__xludf.DUMMYFUNCTION("""COMPUTED_VALUE"""),211.0)</f>
        <v>211</v>
      </c>
      <c r="B212" s="8" t="str">
        <f>IFERROR(__xludf.DUMMYFUNCTION("""COMPUTED_VALUE"""),"Bi-Colored Sapphire")</f>
        <v>Bi-Colored Sapphire</v>
      </c>
      <c r="C212" s="13">
        <f>IFERROR(__xludf.DUMMYFUNCTION("""COMPUTED_VALUE"""),300.0)</f>
        <v>300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>
        <f>IFERROR(__xludf.DUMMYFUNCTION("""COMPUTED_VALUE"""),212.0)</f>
        <v>212</v>
      </c>
      <c r="B213" s="8" t="str">
        <f>IFERROR(__xludf.DUMMYFUNCTION("""COMPUTED_VALUE"""),"Emeraldite")</f>
        <v>Emeraldite</v>
      </c>
      <c r="C213" s="13">
        <f>IFERROR(__xludf.DUMMYFUNCTION("""COMPUTED_VALUE"""),300.0)</f>
        <v>300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>
        <f>IFERROR(__xludf.DUMMYFUNCTION("""COMPUTED_VALUE"""),213.0)</f>
        <v>213</v>
      </c>
      <c r="B214" s="8" t="str">
        <f>IFERROR(__xludf.DUMMYFUNCTION("""COMPUTED_VALUE"""),"Mozambique Ruby")</f>
        <v>Mozambique Ruby</v>
      </c>
      <c r="C214" s="13">
        <f>IFERROR(__xludf.DUMMYFUNCTION("""COMPUTED_VALUE"""),300.0)</f>
        <v>300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>
        <f>IFERROR(__xludf.DUMMYFUNCTION("""COMPUTED_VALUE"""),214.0)</f>
        <v>214</v>
      </c>
      <c r="B215" s="8" t="str">
        <f>IFERROR(__xludf.DUMMYFUNCTION("""COMPUTED_VALUE"""),"Star Garnet")</f>
        <v>Star Garnet</v>
      </c>
      <c r="C215" s="13">
        <f>IFERROR(__xludf.DUMMYFUNCTION("""COMPUTED_VALUE"""),300.0)</f>
        <v>300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>
        <f>IFERROR(__xludf.DUMMYFUNCTION("""COMPUTED_VALUE"""),215.0)</f>
        <v>215</v>
      </c>
      <c r="B216" s="8" t="str">
        <f>IFERROR(__xludf.DUMMYFUNCTION("""COMPUTED_VALUE"""),"Biggs Jasper")</f>
        <v>Biggs Jasper</v>
      </c>
      <c r="C216" s="13">
        <f>IFERROR(__xludf.DUMMYFUNCTION("""COMPUTED_VALUE"""),300.0)</f>
        <v>300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>
        <f>IFERROR(__xludf.DUMMYFUNCTION("""COMPUTED_VALUE"""),216.0)</f>
        <v>216</v>
      </c>
      <c r="B217" s="8" t="str">
        <f>IFERROR(__xludf.DUMMYFUNCTION("""COMPUTED_VALUE"""),"Endura Emerald")</f>
        <v>Endura Emerald</v>
      </c>
      <c r="C217" s="13">
        <f>IFERROR(__xludf.DUMMYFUNCTION("""COMPUTED_VALUE"""),300.0)</f>
        <v>300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>
        <f>IFERROR(__xludf.DUMMYFUNCTION("""COMPUTED_VALUE"""),217.0)</f>
        <v>217</v>
      </c>
      <c r="B218" s="8" t="str">
        <f>IFERROR(__xludf.DUMMYFUNCTION("""COMPUTED_VALUE"""),"Mystic Topaz")</f>
        <v>Mystic Topaz</v>
      </c>
      <c r="C218" s="13">
        <f>IFERROR(__xludf.DUMMYFUNCTION("""COMPUTED_VALUE"""),300.0)</f>
        <v>300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>
        <f>IFERROR(__xludf.DUMMYFUNCTION("""COMPUTED_VALUE"""),218.0)</f>
        <v>218</v>
      </c>
      <c r="B219" s="8" t="str">
        <f>IFERROR(__xludf.DUMMYFUNCTION("""COMPUTED_VALUE"""),"Star Moonstone")</f>
        <v>Star Moonstone</v>
      </c>
      <c r="C219" s="13">
        <f>IFERROR(__xludf.DUMMYFUNCTION("""COMPUTED_VALUE"""),300.0)</f>
        <v>300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>
        <f>IFERROR(__xludf.DUMMYFUNCTION("""COMPUTED_VALUE"""),219.0)</f>
        <v>219</v>
      </c>
      <c r="B220" s="8" t="str">
        <f>IFERROR(__xludf.DUMMYFUNCTION("""COMPUTED_VALUE"""),"Binghamite")</f>
        <v>Binghamite</v>
      </c>
      <c r="C220" s="13">
        <f>IFERROR(__xludf.DUMMYFUNCTION("""COMPUTED_VALUE"""),300.0)</f>
        <v>300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>
        <f>IFERROR(__xludf.DUMMYFUNCTION("""COMPUTED_VALUE"""),220.0)</f>
        <v>220</v>
      </c>
      <c r="B221" s="8" t="str">
        <f>IFERROR(__xludf.DUMMYFUNCTION("""COMPUTED_VALUE"""),"Essonite")</f>
        <v>Essonite</v>
      </c>
      <c r="C221" s="13">
        <f>IFERROR(__xludf.DUMMYFUNCTION("""COMPUTED_VALUE"""),300.0)</f>
        <v>300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>
        <f>IFERROR(__xludf.DUMMYFUNCTION("""COMPUTED_VALUE"""),221.0)</f>
        <v>221</v>
      </c>
      <c r="B222" s="8" t="str">
        <f>IFERROR(__xludf.DUMMYFUNCTION("""COMPUTED_VALUE"""),"Namibian Spessartite")</f>
        <v>Namibian Spessartite</v>
      </c>
      <c r="C222" s="13">
        <f>IFERROR(__xludf.DUMMYFUNCTION("""COMPUTED_VALUE"""),300.0)</f>
        <v>300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>
        <f>IFERROR(__xludf.DUMMYFUNCTION("""COMPUTED_VALUE"""),222.0)</f>
        <v>222</v>
      </c>
      <c r="B223" s="8" t="str">
        <f>IFERROR(__xludf.DUMMYFUNCTION("""COMPUTED_VALUE"""),"Star Rose Quartz")</f>
        <v>Star Rose Quartz</v>
      </c>
      <c r="C223" s="13">
        <f>IFERROR(__xludf.DUMMYFUNCTION("""COMPUTED_VALUE"""),300.0)</f>
        <v>300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>
        <f>IFERROR(__xludf.DUMMYFUNCTION("""COMPUTED_VALUE"""),223.0)</f>
        <v>223</v>
      </c>
      <c r="B224" s="8" t="str">
        <f>IFERROR(__xludf.DUMMYFUNCTION("""COMPUTED_VALUE"""),"Biron Emerald")</f>
        <v>Biron Emerald</v>
      </c>
      <c r="C224" s="13">
        <f>IFERROR(__xludf.DUMMYFUNCTION("""COMPUTED_VALUE"""),300.0)</f>
        <v>300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>
        <f>IFERROR(__xludf.DUMMYFUNCTION("""COMPUTED_VALUE"""),224.0)</f>
        <v>224</v>
      </c>
      <c r="B225" s="8" t="str">
        <f>IFERROR(__xludf.DUMMYFUNCTION("""COMPUTED_VALUE"""),"Evening Emerald")</f>
        <v>Evening Emerald</v>
      </c>
      <c r="C225" s="13">
        <f>IFERROR(__xludf.DUMMYFUNCTION("""COMPUTED_VALUE"""),300.0)</f>
        <v>300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>
        <f>IFERROR(__xludf.DUMMYFUNCTION("""COMPUTED_VALUE"""),225.0)</f>
        <v>225</v>
      </c>
      <c r="B226" s="8" t="str">
        <f>IFERROR(__xludf.DUMMYFUNCTION("""COMPUTED_VALUE"""),"Natural Pearl")</f>
        <v>Natural Pearl</v>
      </c>
      <c r="C226" s="13">
        <f>IFERROR(__xludf.DUMMYFUNCTION("""COMPUTED_VALUE"""),300.0)</f>
        <v>300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>
        <f>IFERROR(__xludf.DUMMYFUNCTION("""COMPUTED_VALUE"""),226.0)</f>
        <v>226</v>
      </c>
      <c r="B227" s="8" t="str">
        <f>IFERROR(__xludf.DUMMYFUNCTION("""COMPUTED_VALUE"""),"Star Ruby")</f>
        <v>Star Ruby</v>
      </c>
      <c r="C227" s="13">
        <f>IFERROR(__xludf.DUMMYFUNCTION("""COMPUTED_VALUE"""),300.0)</f>
        <v>300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>
        <f>IFERROR(__xludf.DUMMYFUNCTION("""COMPUTED_VALUE"""),227.0)</f>
        <v>227</v>
      </c>
      <c r="B228" s="8" t="str">
        <f>IFERROR(__xludf.DUMMYFUNCTION("""COMPUTED_VALUE"""),"Bixbite")</f>
        <v>Bixbite</v>
      </c>
      <c r="C228" s="13">
        <f>IFERROR(__xludf.DUMMYFUNCTION("""COMPUTED_VALUE"""),300.0)</f>
        <v>300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>
        <f>IFERROR(__xludf.DUMMYFUNCTION("""COMPUTED_VALUE"""),228.0)</f>
        <v>228</v>
      </c>
      <c r="B229" s="8" t="str">
        <f>IFERROR(__xludf.DUMMYFUNCTION("""COMPUTED_VALUE"""),"Evening Emerald")</f>
        <v>Evening Emerald</v>
      </c>
      <c r="C229" s="13">
        <f>IFERROR(__xludf.DUMMYFUNCTION("""COMPUTED_VALUE"""),300.0)</f>
        <v>300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>
        <f>IFERROR(__xludf.DUMMYFUNCTION("""COMPUTED_VALUE"""),229.0)</f>
        <v>229</v>
      </c>
      <c r="B230" s="8" t="str">
        <f>IFERROR(__xludf.DUMMYFUNCTION("""COMPUTED_VALUE"""),"Navajo Turquoise")</f>
        <v>Navajo Turquoise</v>
      </c>
      <c r="C230" s="13">
        <f>IFERROR(__xludf.DUMMYFUNCTION("""COMPUTED_VALUE"""),300.0)</f>
        <v>300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>
        <f>IFERROR(__xludf.DUMMYFUNCTION("""COMPUTED_VALUE"""),230.0)</f>
        <v>230</v>
      </c>
      <c r="B231" s="8" t="str">
        <f>IFERROR(__xludf.DUMMYFUNCTION("""COMPUTED_VALUE"""),"Star Sapphire")</f>
        <v>Star Sapphire</v>
      </c>
      <c r="C231" s="13">
        <f>IFERROR(__xludf.DUMMYFUNCTION("""COMPUTED_VALUE"""),300.0)</f>
        <v>300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>
        <f>IFERROR(__xludf.DUMMYFUNCTION("""COMPUTED_VALUE"""),231.0)</f>
        <v>231</v>
      </c>
      <c r="B232" s="8" t="str">
        <f>IFERROR(__xludf.DUMMYFUNCTION("""COMPUTED_VALUE"""),"Black Coral")</f>
        <v>Black Coral</v>
      </c>
      <c r="C232" s="13">
        <f>IFERROR(__xludf.DUMMYFUNCTION("""COMPUTED_VALUE"""),300.0)</f>
        <v>300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>
        <f>IFERROR(__xludf.DUMMYFUNCTION("""COMPUTED_VALUE"""),232.0)</f>
        <v>232</v>
      </c>
      <c r="B233" s="8" t="str">
        <f>IFERROR(__xludf.DUMMYFUNCTION("""COMPUTED_VALUE"""),"Eye Agate")</f>
        <v>Eye Agate</v>
      </c>
      <c r="C233" s="13">
        <f>IFERROR(__xludf.DUMMYFUNCTION("""COMPUTED_VALUE"""),300.0)</f>
        <v>300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>
        <f>IFERROR(__xludf.DUMMYFUNCTION("""COMPUTED_VALUE"""),233.0)</f>
        <v>233</v>
      </c>
      <c r="B234" s="8" t="str">
        <f>IFERROR(__xludf.DUMMYFUNCTION("""COMPUTED_VALUE"""),"Nerchinsk Aquamarine")</f>
        <v>Nerchinsk Aquamarine</v>
      </c>
      <c r="C234" s="13">
        <f>IFERROR(__xludf.DUMMYFUNCTION("""COMPUTED_VALUE"""),300.0)</f>
        <v>300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>
        <f>IFERROR(__xludf.DUMMYFUNCTION("""COMPUTED_VALUE"""),234.0)</f>
        <v>234</v>
      </c>
      <c r="B235" s="8" t="str">
        <f>IFERROR(__xludf.DUMMYFUNCTION("""COMPUTED_VALUE"""),"Star Sunstone")</f>
        <v>Star Sunstone</v>
      </c>
      <c r="C235" s="13">
        <f>IFERROR(__xludf.DUMMYFUNCTION("""COMPUTED_VALUE"""),300.0)</f>
        <v>300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>
        <f>IFERROR(__xludf.DUMMYFUNCTION("""COMPUTED_VALUE"""),235.0)</f>
        <v>235</v>
      </c>
      <c r="B236" s="8" t="str">
        <f>IFERROR(__xludf.DUMMYFUNCTION("""COMPUTED_VALUE"""),"Black Diamond")</f>
        <v>Black Diamond</v>
      </c>
      <c r="C236" s="13">
        <f>IFERROR(__xludf.DUMMYFUNCTION("""COMPUTED_VALUE"""),300.0)</f>
        <v>300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>
        <f>IFERROR(__xludf.DUMMYFUNCTION("""COMPUTED_VALUE"""),236.0)</f>
        <v>236</v>
      </c>
      <c r="B237" s="8" t="str">
        <f>IFERROR(__xludf.DUMMYFUNCTION("""COMPUTED_VALUE"""),"False Topaz")</f>
        <v>False Topaz</v>
      </c>
      <c r="C237" s="13">
        <f>IFERROR(__xludf.DUMMYFUNCTION("""COMPUTED_VALUE"""),300.0)</f>
        <v>300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>
        <f>IFERROR(__xludf.DUMMYFUNCTION("""COMPUTED_VALUE"""),237.0)</f>
        <v>237</v>
      </c>
      <c r="B238" s="8" t="str">
        <f>IFERROR(__xludf.DUMMYFUNCTION("""COMPUTED_VALUE"""),"Nevada Opal")</f>
        <v>Nevada Opal</v>
      </c>
      <c r="C238" s="13">
        <f>IFERROR(__xludf.DUMMYFUNCTION("""COMPUTED_VALUE"""),300.0)</f>
        <v>300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>
        <f>IFERROR(__xludf.DUMMYFUNCTION("""COMPUTED_VALUE"""),238.0)</f>
        <v>238</v>
      </c>
      <c r="B239" s="8" t="str">
        <f>IFERROR(__xludf.DUMMYFUNCTION("""COMPUTED_VALUE"""),"Star Topaz")</f>
        <v>Star Topaz</v>
      </c>
      <c r="C239" s="13">
        <f>IFERROR(__xludf.DUMMYFUNCTION("""COMPUTED_VALUE"""),300.0)</f>
        <v>300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>
        <f>IFERROR(__xludf.DUMMYFUNCTION("""COMPUTED_VALUE"""),239.0)</f>
        <v>239</v>
      </c>
      <c r="B240" s="8" t="str">
        <f>IFERROR(__xludf.DUMMYFUNCTION("""COMPUTED_VALUE"""),"Black Onyx")</f>
        <v>Black Onyx</v>
      </c>
      <c r="C240" s="13">
        <f>IFERROR(__xludf.DUMMYFUNCTION("""COMPUTED_VALUE"""),300.0)</f>
        <v>300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>
        <f>IFERROR(__xludf.DUMMYFUNCTION("""COMPUTED_VALUE"""),240.0)</f>
        <v>240</v>
      </c>
      <c r="B241" s="8" t="str">
        <f>IFERROR(__xludf.DUMMYFUNCTION("""COMPUTED_VALUE"""),"Fancy")</f>
        <v>Fancy</v>
      </c>
      <c r="C241" s="13">
        <f>IFERROR(__xludf.DUMMYFUNCTION("""COMPUTED_VALUE"""),300.0)</f>
        <v>300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>
        <f>IFERROR(__xludf.DUMMYFUNCTION("""COMPUTED_VALUE"""),241.0)</f>
        <v>241</v>
      </c>
      <c r="B242" s="8" t="str">
        <f>IFERROR(__xludf.DUMMYFUNCTION("""COMPUTED_VALUE"""),"Nickel Silver")</f>
        <v>Nickel Silver</v>
      </c>
      <c r="C242" s="13">
        <f>IFERROR(__xludf.DUMMYFUNCTION("""COMPUTED_VALUE"""),300.0)</f>
        <v>300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>
        <f>IFERROR(__xludf.DUMMYFUNCTION("""COMPUTED_VALUE"""),242.0)</f>
        <v>242</v>
      </c>
      <c r="B243" s="8" t="str">
        <f>IFERROR(__xludf.DUMMYFUNCTION("""COMPUTED_VALUE"""),"Starlite")</f>
        <v>Starlite</v>
      </c>
      <c r="C243" s="13">
        <f>IFERROR(__xludf.DUMMYFUNCTION("""COMPUTED_VALUE"""),300.0)</f>
        <v>300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>
        <f>IFERROR(__xludf.DUMMYFUNCTION("""COMPUTED_VALUE"""),243.0)</f>
        <v>243</v>
      </c>
      <c r="B244" s="8" t="str">
        <f>IFERROR(__xludf.DUMMYFUNCTION("""COMPUTED_VALUE"""),"Black Opal")</f>
        <v>Black Opal</v>
      </c>
      <c r="C244" s="13">
        <f>IFERROR(__xludf.DUMMYFUNCTION("""COMPUTED_VALUE"""),300.0)</f>
        <v>300</v>
      </c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>
        <f>IFERROR(__xludf.DUMMYFUNCTION("""COMPUTED_VALUE"""),244.0)</f>
        <v>244</v>
      </c>
      <c r="B245" s="8" t="str">
        <f>IFERROR(__xludf.DUMMYFUNCTION("""COMPUTED_VALUE"""),"Fancy Sapphire")</f>
        <v>Fancy Sapphire</v>
      </c>
      <c r="C245" s="13">
        <f>IFERROR(__xludf.DUMMYFUNCTION("""COMPUTED_VALUE"""),300.0)</f>
        <v>300</v>
      </c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>
        <f>IFERROR(__xludf.DUMMYFUNCTION("""COMPUTED_VALUE"""),245.0)</f>
        <v>245</v>
      </c>
      <c r="B246" s="8" t="str">
        <f>IFERROR(__xludf.DUMMYFUNCTION("""COMPUTED_VALUE"""),"Night Emerald")</f>
        <v>Night Emerald</v>
      </c>
      <c r="C246" s="13">
        <f>IFERROR(__xludf.DUMMYFUNCTION("""COMPUTED_VALUE"""),300.0)</f>
        <v>300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>
        <f>IFERROR(__xludf.DUMMYFUNCTION("""COMPUTED_VALUE"""),246.0)</f>
        <v>246</v>
      </c>
      <c r="B247" s="8" t="str">
        <f>IFERROR(__xludf.DUMMYFUNCTION("""COMPUTED_VALUE"""),"Sterling Silver")</f>
        <v>Sterling Silver</v>
      </c>
      <c r="C247" s="13">
        <f>IFERROR(__xludf.DUMMYFUNCTION("""COMPUTED_VALUE"""),300.0)</f>
        <v>300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>
        <f>IFERROR(__xludf.DUMMYFUNCTION("""COMPUTED_VALUE"""),247.0)</f>
        <v>247</v>
      </c>
      <c r="B248" s="8" t="str">
        <f>IFERROR(__xludf.DUMMYFUNCTION("""COMPUTED_VALUE"""),"Black Pearl")</f>
        <v>Black Pearl</v>
      </c>
      <c r="C248" s="13">
        <f>IFERROR(__xludf.DUMMYFUNCTION("""COMPUTED_VALUE"""),300.0)</f>
        <v>300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>
        <f>IFERROR(__xludf.DUMMYFUNCTION("""COMPUTED_VALUE"""),248.0)</f>
        <v>248</v>
      </c>
      <c r="B249" s="8" t="str">
        <f>IFERROR(__xludf.DUMMYFUNCTION("""COMPUTED_VALUE"""),"Ferrer's Emerald")</f>
        <v>Ferrer's Emerald</v>
      </c>
      <c r="C249" s="13">
        <f>IFERROR(__xludf.DUMMYFUNCTION("""COMPUTED_VALUE"""),300.0)</f>
        <v>300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>
        <f>IFERROR(__xludf.DUMMYFUNCTION("""COMPUTED_VALUE"""),249.0)</f>
        <v>249</v>
      </c>
      <c r="B250" s="8" t="str">
        <f>IFERROR(__xludf.DUMMYFUNCTION("""COMPUTED_VALUE"""),"Noble Orthoclose")</f>
        <v>Noble Orthoclose</v>
      </c>
      <c r="C250" s="13">
        <f>IFERROR(__xludf.DUMMYFUNCTION("""COMPUTED_VALUE"""),300.0)</f>
        <v>300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>
        <f>IFERROR(__xludf.DUMMYFUNCTION("""COMPUTED_VALUE"""),250.0)</f>
        <v>250</v>
      </c>
      <c r="B251" s="8" t="str">
        <f>IFERROR(__xludf.DUMMYFUNCTION("""COMPUTED_VALUE"""),"Stone Canyon Jasper")</f>
        <v>Stone Canyon Jasper</v>
      </c>
      <c r="C251" s="13">
        <f>IFERROR(__xludf.DUMMYFUNCTION("""COMPUTED_VALUE"""),300.0)</f>
        <v>300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>
        <f>IFERROR(__xludf.DUMMYFUNCTION("""COMPUTED_VALUE"""),251.0)</f>
        <v>251</v>
      </c>
      <c r="B252" s="8" t="str">
        <f>IFERROR(__xludf.DUMMYFUNCTION("""COMPUTED_VALUE"""),"Blood Jasper")</f>
        <v>Blood Jasper</v>
      </c>
      <c r="C252" s="13">
        <f>IFERROR(__xludf.DUMMYFUNCTION("""COMPUTED_VALUE"""),300.0)</f>
        <v>300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>
        <f>IFERROR(__xludf.DUMMYFUNCTION("""COMPUTED_VALUE"""),252.0)</f>
        <v>252</v>
      </c>
      <c r="B253" s="8" t="str">
        <f>IFERROR(__xludf.DUMMYFUNCTION("""COMPUTED_VALUE"""),"Fire Agate")</f>
        <v>Fire Agate</v>
      </c>
      <c r="C253" s="13">
        <f>IFERROR(__xludf.DUMMYFUNCTION("""COMPUTED_VALUE"""),300.0)</f>
        <v>300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>
        <f>IFERROR(__xludf.DUMMYFUNCTION("""COMPUTED_VALUE"""),253.0)</f>
        <v>253</v>
      </c>
      <c r="B254" s="8" t="str">
        <f>IFERROR(__xludf.DUMMYFUNCTION("""COMPUTED_VALUE"""),"Occidental Turquoise")</f>
        <v>Occidental Turquoise</v>
      </c>
      <c r="C254" s="13">
        <f>IFERROR(__xludf.DUMMYFUNCTION("""COMPUTED_VALUE"""),300.0)</f>
        <v>300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>
        <f>IFERROR(__xludf.DUMMYFUNCTION("""COMPUTED_VALUE"""),254.0)</f>
        <v>254</v>
      </c>
      <c r="B255" s="8" t="str">
        <f>IFERROR(__xludf.DUMMYFUNCTION("""COMPUTED_VALUE"""),"Strass Diamond")</f>
        <v>Strass Diamond</v>
      </c>
      <c r="C255" s="13">
        <f>IFERROR(__xludf.DUMMYFUNCTION("""COMPUTED_VALUE"""),300.0)</f>
        <v>300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>
        <f>IFERROR(__xludf.DUMMYFUNCTION("""COMPUTED_VALUE"""),255.0)</f>
        <v>255</v>
      </c>
      <c r="B256" s="8" t="str">
        <f>IFERROR(__xludf.DUMMYFUNCTION("""COMPUTED_VALUE"""),"Bloodstone")</f>
        <v>Bloodstone</v>
      </c>
      <c r="C256" s="13">
        <f>IFERROR(__xludf.DUMMYFUNCTION("""COMPUTED_VALUE"""),300.0)</f>
        <v>300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>
        <f>IFERROR(__xludf.DUMMYFUNCTION("""COMPUTED_VALUE"""),256.0)</f>
        <v>256</v>
      </c>
      <c r="B257" s="8" t="str">
        <f>IFERROR(__xludf.DUMMYFUNCTION("""COMPUTED_VALUE"""),"Fire Opal")</f>
        <v>Fire Opal</v>
      </c>
      <c r="C257" s="13">
        <f>IFERROR(__xludf.DUMMYFUNCTION("""COMPUTED_VALUE"""),300.0)</f>
        <v>300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>
        <f>IFERROR(__xludf.DUMMYFUNCTION("""COMPUTED_VALUE"""),257.0)</f>
        <v>257</v>
      </c>
      <c r="B258" s="8" t="str">
        <f>IFERROR(__xludf.DUMMYFUNCTION("""COMPUTED_VALUE"""),"Ocean Jasper")</f>
        <v>Ocean Jasper</v>
      </c>
      <c r="C258" s="13">
        <f>IFERROR(__xludf.DUMMYFUNCTION("""COMPUTED_VALUE"""),300.0)</f>
        <v>300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>
        <f>IFERROR(__xludf.DUMMYFUNCTION("""COMPUTED_VALUE"""),258.0)</f>
        <v>258</v>
      </c>
      <c r="B259" s="8" t="str">
        <f>IFERROR(__xludf.DUMMYFUNCTION("""COMPUTED_VALUE"""),"Strawberry Quartz")</f>
        <v>Strawberry Quartz</v>
      </c>
      <c r="C259" s="13">
        <f>IFERROR(__xludf.DUMMYFUNCTION("""COMPUTED_VALUE"""),300.0)</f>
        <v>300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>
        <f>IFERROR(__xludf.DUMMYFUNCTION("""COMPUTED_VALUE"""),259.0)</f>
        <v>259</v>
      </c>
      <c r="B260" s="8" t="str">
        <f>IFERROR(__xludf.DUMMYFUNCTION("""COMPUTED_VALUE"""),"Blue Alexandrite")</f>
        <v>Blue Alexandrite</v>
      </c>
      <c r="C260" s="13">
        <f>IFERROR(__xludf.DUMMYFUNCTION("""COMPUTED_VALUE"""),300.0)</f>
        <v>300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>
        <f>IFERROR(__xludf.DUMMYFUNCTION("""COMPUTED_VALUE"""),260.0)</f>
        <v>260</v>
      </c>
      <c r="B261" s="8" t="str">
        <f>IFERROR(__xludf.DUMMYFUNCTION("""COMPUTED_VALUE"""),"Flame Spinel")</f>
        <v>Flame Spinel</v>
      </c>
      <c r="C261" s="13">
        <f>IFERROR(__xludf.DUMMYFUNCTION("""COMPUTED_VALUE"""),300.0)</f>
        <v>300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>
        <f>IFERROR(__xludf.DUMMYFUNCTION("""COMPUTED_VALUE"""),261.0)</f>
        <v>261</v>
      </c>
      <c r="B262" s="8" t="str">
        <f>IFERROR(__xludf.DUMMYFUNCTION("""COMPUTED_VALUE"""),"Olivine")</f>
        <v>Olivine</v>
      </c>
      <c r="C262" s="13">
        <f>IFERROR(__xludf.DUMMYFUNCTION("""COMPUTED_VALUE"""),300.0)</f>
        <v>300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>
        <f>IFERROR(__xludf.DUMMYFUNCTION("""COMPUTED_VALUE"""),262.0)</f>
        <v>262</v>
      </c>
      <c r="B263" s="8" t="str">
        <f>IFERROR(__xludf.DUMMYFUNCTION("""COMPUTED_VALUE"""),"Succinite")</f>
        <v>Succinite</v>
      </c>
      <c r="C263" s="13">
        <f>IFERROR(__xludf.DUMMYFUNCTION("""COMPUTED_VALUE"""),300.0)</f>
        <v>300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>
        <f>IFERROR(__xludf.DUMMYFUNCTION("""COMPUTED_VALUE"""),263.0)</f>
        <v>263</v>
      </c>
      <c r="B264" s="8" t="str">
        <f>IFERROR(__xludf.DUMMYFUNCTION("""COMPUTED_VALUE"""),"Blue Amber")</f>
        <v>Blue Amber</v>
      </c>
      <c r="C264" s="13">
        <f>IFERROR(__xludf.DUMMYFUNCTION("""COMPUTED_VALUE"""),300.0)</f>
        <v>300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>
        <f>IFERROR(__xludf.DUMMYFUNCTION("""COMPUTED_VALUE"""),264.0)</f>
        <v>264</v>
      </c>
      <c r="B265" s="8" t="str">
        <f>IFERROR(__xludf.DUMMYFUNCTION("""COMPUTED_VALUE"""),"Flash Opal")</f>
        <v>Flash Opal</v>
      </c>
      <c r="C265" s="13">
        <f>IFERROR(__xludf.DUMMYFUNCTION("""COMPUTED_VALUE"""),300.0)</f>
        <v>300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>
        <f>IFERROR(__xludf.DUMMYFUNCTION("""COMPUTED_VALUE"""),265.0)</f>
        <v>265</v>
      </c>
      <c r="B266" s="8" t="str">
        <f>IFERROR(__xludf.DUMMYFUNCTION("""COMPUTED_VALUE"""),"Onyx")</f>
        <v>Onyx</v>
      </c>
      <c r="C266" s="13">
        <f>IFERROR(__xludf.DUMMYFUNCTION("""COMPUTED_VALUE"""),300.0)</f>
        <v>300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>
        <f>IFERROR(__xludf.DUMMYFUNCTION("""COMPUTED_VALUE"""),266.0)</f>
        <v>266</v>
      </c>
      <c r="B267" s="8" t="str">
        <f>IFERROR(__xludf.DUMMYFUNCTION("""COMPUTED_VALUE"""),"Swarovski Diamond")</f>
        <v>Swarovski Diamond</v>
      </c>
      <c r="C267" s="13">
        <f>IFERROR(__xludf.DUMMYFUNCTION("""COMPUTED_VALUE"""),300.0)</f>
        <v>300</v>
      </c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>
        <f>IFERROR(__xludf.DUMMYFUNCTION("""COMPUTED_VALUE"""),267.0)</f>
        <v>267</v>
      </c>
      <c r="B268" s="8" t="str">
        <f>IFERROR(__xludf.DUMMYFUNCTION("""COMPUTED_VALUE"""),"Blue Denim Stone")</f>
        <v>Blue Denim Stone</v>
      </c>
      <c r="C268" s="13">
        <f>IFERROR(__xludf.DUMMYFUNCTION("""COMPUTED_VALUE"""),300.0)</f>
        <v>300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>
        <f>IFERROR(__xludf.DUMMYFUNCTION("""COMPUTED_VALUE"""),268.0)</f>
        <v>268</v>
      </c>
      <c r="B269" s="8" t="str">
        <f>IFERROR(__xludf.DUMMYFUNCTION("""COMPUTED_VALUE"""),"Fluorspar")</f>
        <v>Fluorspar</v>
      </c>
      <c r="C269" s="13">
        <f>IFERROR(__xludf.DUMMYFUNCTION("""COMPUTED_VALUE"""),300.0)</f>
        <v>300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>
        <f>IFERROR(__xludf.DUMMYFUNCTION("""COMPUTED_VALUE"""),269.0)</f>
        <v>269</v>
      </c>
      <c r="B270" s="8" t="str">
        <f>IFERROR(__xludf.DUMMYFUNCTION("""COMPUTED_VALUE"""),"Onyx Agate")</f>
        <v>Onyx Agate</v>
      </c>
      <c r="C270" s="13">
        <f>IFERROR(__xludf.DUMMYFUNCTION("""COMPUTED_VALUE"""),300.0)</f>
        <v>300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>
        <f>IFERROR(__xludf.DUMMYFUNCTION("""COMPUTED_VALUE"""),270.0)</f>
        <v>270</v>
      </c>
      <c r="B271" s="8" t="str">
        <f>IFERROR(__xludf.DUMMYFUNCTION("""COMPUTED_VALUE"""),"Swiss Blue Topaz")</f>
        <v>Swiss Blue Topaz</v>
      </c>
      <c r="C271" s="13">
        <f>IFERROR(__xludf.DUMMYFUNCTION("""COMPUTED_VALUE"""),300.0)</f>
        <v>300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>
        <f>IFERROR(__xludf.DUMMYFUNCTION("""COMPUTED_VALUE"""),271.0)</f>
        <v>271</v>
      </c>
      <c r="B272" s="8" t="str">
        <f>IFERROR(__xludf.DUMMYFUNCTION("""COMPUTED_VALUE"""),"Blue Denim Stone")</f>
        <v>Blue Denim Stone</v>
      </c>
      <c r="C272" s="13">
        <f>IFERROR(__xludf.DUMMYFUNCTION("""COMPUTED_VALUE"""),300.0)</f>
        <v>300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>
        <f>IFERROR(__xludf.DUMMYFUNCTION("""COMPUTED_VALUE"""),272.0)</f>
        <v>272</v>
      </c>
      <c r="B273" s="8" t="str">
        <f>IFERROR(__xludf.DUMMYFUNCTION("""COMPUTED_VALUE"""),"Fool's Gold")</f>
        <v>Fool's Gold</v>
      </c>
      <c r="C273" s="13">
        <f>IFERROR(__xludf.DUMMYFUNCTION("""COMPUTED_VALUE"""),300.0)</f>
        <v>300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>
        <f>IFERROR(__xludf.DUMMYFUNCTION("""COMPUTED_VALUE"""),273.0)</f>
        <v>273</v>
      </c>
      <c r="B274" s="8" t="str">
        <f>IFERROR(__xludf.DUMMYFUNCTION("""COMPUTED_VALUE"""),"Onyx Opal")</f>
        <v>Onyx Opal</v>
      </c>
      <c r="C274" s="13">
        <f>IFERROR(__xludf.DUMMYFUNCTION("""COMPUTED_VALUE"""),300.0)</f>
        <v>300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>
        <f>IFERROR(__xludf.DUMMYFUNCTION("""COMPUTED_VALUE"""),274.0)</f>
        <v>274</v>
      </c>
      <c r="B275" s="8" t="str">
        <f>IFERROR(__xludf.DUMMYFUNCTION("""COMPUTED_VALUE"""),"Swiss Lapis")</f>
        <v>Swiss Lapis</v>
      </c>
      <c r="C275" s="13">
        <f>IFERROR(__xludf.DUMMYFUNCTION("""COMPUTED_VALUE"""),300.0)</f>
        <v>300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>
        <f>IFERROR(__xludf.DUMMYFUNCTION("""COMPUTED_VALUE"""),275.0)</f>
        <v>275</v>
      </c>
      <c r="B276" s="8" t="str">
        <f>IFERROR(__xludf.DUMMYFUNCTION("""COMPUTED_VALUE"""),"Blue Gold")</f>
        <v>Blue Gold</v>
      </c>
      <c r="C276" s="13">
        <f>IFERROR(__xludf.DUMMYFUNCTION("""COMPUTED_VALUE"""),300.0)</f>
        <v>300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>
        <f>IFERROR(__xludf.DUMMYFUNCTION("""COMPUTED_VALUE"""),276.0)</f>
        <v>276</v>
      </c>
      <c r="B277" s="8" t="str">
        <f>IFERROR(__xludf.DUMMYFUNCTION("""COMPUTED_VALUE"""),"Fortification Agate")</f>
        <v>Fortification Agate</v>
      </c>
      <c r="C277" s="13">
        <f>IFERROR(__xludf.DUMMYFUNCTION("""COMPUTED_VALUE"""),300.0)</f>
        <v>300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>
        <f>IFERROR(__xludf.DUMMYFUNCTION("""COMPUTED_VALUE"""),277.0)</f>
        <v>277</v>
      </c>
      <c r="B278" s="8" t="str">
        <f>IFERROR(__xludf.DUMMYFUNCTION("""COMPUTED_VALUE"""),"Opal")</f>
        <v>Opal</v>
      </c>
      <c r="C278" s="13">
        <f>IFERROR(__xludf.DUMMYFUNCTION("""COMPUTED_VALUE"""),300.0)</f>
        <v>300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>
        <f>IFERROR(__xludf.DUMMYFUNCTION("""COMPUTED_VALUE"""),278.0)</f>
        <v>278</v>
      </c>
      <c r="B279" s="8" t="str">
        <f>IFERROR(__xludf.DUMMYFUNCTION("""COMPUTED_VALUE"""),"Tahiti Pearl")</f>
        <v>Tahiti Pearl</v>
      </c>
      <c r="C279" s="13">
        <f>IFERROR(__xludf.DUMMYFUNCTION("""COMPUTED_VALUE"""),300.0)</f>
        <v>300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>
        <f>IFERROR(__xludf.DUMMYFUNCTION("""COMPUTED_VALUE"""),279.0)</f>
        <v>279</v>
      </c>
      <c r="B280" s="8" t="str">
        <f>IFERROR(__xludf.DUMMYFUNCTION("""COMPUTED_VALUE"""),"Blue John")</f>
        <v>Blue John</v>
      </c>
      <c r="C280" s="13">
        <f>IFERROR(__xludf.DUMMYFUNCTION("""COMPUTED_VALUE"""),300.0)</f>
        <v>300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>
        <f>IFERROR(__xludf.DUMMYFUNCTION("""COMPUTED_VALUE"""),280.0)</f>
        <v>280</v>
      </c>
      <c r="B281" s="8" t="str">
        <f>IFERROR(__xludf.DUMMYFUNCTION("""COMPUTED_VALUE"""),"Fossil Turquoise")</f>
        <v>Fossil Turquoise</v>
      </c>
      <c r="C281" s="13">
        <f>IFERROR(__xludf.DUMMYFUNCTION("""COMPUTED_VALUE"""),300.0)</f>
        <v>300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>
        <f>IFERROR(__xludf.DUMMYFUNCTION("""COMPUTED_VALUE"""),281.0)</f>
        <v>281</v>
      </c>
      <c r="B282" s="8" t="str">
        <f>IFERROR(__xludf.DUMMYFUNCTION("""COMPUTED_VALUE"""),"Opal Jasper")</f>
        <v>Opal Jasper</v>
      </c>
      <c r="C282" s="13">
        <f>IFERROR(__xludf.DUMMYFUNCTION("""COMPUTED_VALUE"""),300.0)</f>
        <v>300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>
        <f>IFERROR(__xludf.DUMMYFUNCTION("""COMPUTED_VALUE"""),282.0)</f>
        <v>282</v>
      </c>
      <c r="B283" s="8" t="str">
        <f>IFERROR(__xludf.DUMMYFUNCTION("""COMPUTED_VALUE"""),"Tahitian Pearl")</f>
        <v>Tahitian Pearl</v>
      </c>
      <c r="C283" s="13">
        <f>IFERROR(__xludf.DUMMYFUNCTION("""COMPUTED_VALUE"""),300.0)</f>
        <v>300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>
        <f>IFERROR(__xludf.DUMMYFUNCTION("""COMPUTED_VALUE"""),283.0)</f>
        <v>283</v>
      </c>
      <c r="B284" s="8" t="str">
        <f>IFERROR(__xludf.DUMMYFUNCTION("""COMPUTED_VALUE"""),"Blue Kunzite")</f>
        <v>Blue Kunzite</v>
      </c>
      <c r="C284" s="13">
        <f>IFERROR(__xludf.DUMMYFUNCTION("""COMPUTED_VALUE"""),300.0)</f>
        <v>300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>
        <f>IFERROR(__xludf.DUMMYFUNCTION("""COMPUTED_VALUE"""),284.0)</f>
        <v>284</v>
      </c>
      <c r="B285" s="8" t="str">
        <f>IFERROR(__xludf.DUMMYFUNCTION("""COMPUTED_VALUE"""),"Freshwater Pearl")</f>
        <v>Freshwater Pearl</v>
      </c>
      <c r="C285" s="13">
        <f>IFERROR(__xludf.DUMMYFUNCTION("""COMPUTED_VALUE"""),300.0)</f>
        <v>300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>
        <f>IFERROR(__xludf.DUMMYFUNCTION("""COMPUTED_VALUE"""),285.0)</f>
        <v>285</v>
      </c>
      <c r="B286" s="8" t="str">
        <f>IFERROR(__xludf.DUMMYFUNCTION("""COMPUTED_VALUE"""),"Opal Matrix")</f>
        <v>Opal Matrix</v>
      </c>
      <c r="C286" s="13">
        <f>IFERROR(__xludf.DUMMYFUNCTION("""COMPUTED_VALUE"""),300.0)</f>
        <v>300</v>
      </c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>
        <f>IFERROR(__xludf.DUMMYFUNCTION("""COMPUTED_VALUE"""),286.0)</f>
        <v>286</v>
      </c>
      <c r="B287" s="8" t="str">
        <f>IFERROR(__xludf.DUMMYFUNCTION("""COMPUTED_VALUE"""),"Tangerine Garnet")</f>
        <v>Tangerine Garnet</v>
      </c>
      <c r="C287" s="13">
        <f>IFERROR(__xludf.DUMMYFUNCTION("""COMPUTED_VALUE"""),300.0)</f>
        <v>300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>
        <f>IFERROR(__xludf.DUMMYFUNCTION("""COMPUTED_VALUE"""),287.0)</f>
        <v>287</v>
      </c>
      <c r="B288" s="8" t="str">
        <f>IFERROR(__xludf.DUMMYFUNCTION("""COMPUTED_VALUE"""),"Blue Lace Agate")</f>
        <v>Blue Lace Agate</v>
      </c>
      <c r="C288" s="13">
        <f>IFERROR(__xludf.DUMMYFUNCTION("""COMPUTED_VALUE"""),300.0)</f>
        <v>300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>
        <f>IFERROR(__xludf.DUMMYFUNCTION("""COMPUTED_VALUE"""),288.0)</f>
        <v>288</v>
      </c>
      <c r="B289" s="8" t="str">
        <f>IFERROR(__xludf.DUMMYFUNCTION("""COMPUTED_VALUE"""),"Gahnospinel")</f>
        <v>Gahnospinel</v>
      </c>
      <c r="C289" s="13">
        <f>IFERROR(__xludf.DUMMYFUNCTION("""COMPUTED_VALUE"""),300.0)</f>
        <v>300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>
        <f>IFERROR(__xludf.DUMMYFUNCTION("""COMPUTED_VALUE"""),289.0)</f>
        <v>289</v>
      </c>
      <c r="B290" s="8" t="str">
        <f>IFERROR(__xludf.DUMMYFUNCTION("""COMPUTED_VALUE"""),"Orbicular Jasper")</f>
        <v>Orbicular Jasper</v>
      </c>
      <c r="C290" s="13">
        <f>IFERROR(__xludf.DUMMYFUNCTION("""COMPUTED_VALUE"""),300.0)</f>
        <v>300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>
        <f>IFERROR(__xludf.DUMMYFUNCTION("""COMPUTED_VALUE"""),290.0)</f>
        <v>290</v>
      </c>
      <c r="B291" s="8" t="str">
        <f>IFERROR(__xludf.DUMMYFUNCTION("""COMPUTED_VALUE"""),"Tanzanite")</f>
        <v>Tanzanite</v>
      </c>
      <c r="C291" s="13">
        <f>IFERROR(__xludf.DUMMYFUNCTION("""COMPUTED_VALUE"""),300.0)</f>
        <v>300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>
        <f>IFERROR(__xludf.DUMMYFUNCTION("""COMPUTED_VALUE"""),291.0)</f>
        <v>291</v>
      </c>
      <c r="B292" s="8" t="str">
        <f>IFERROR(__xludf.DUMMYFUNCTION("""COMPUTED_VALUE"""),"Blue Moon Quartz")</f>
        <v>Blue Moon Quartz</v>
      </c>
      <c r="C292" s="13">
        <f>IFERROR(__xludf.DUMMYFUNCTION("""COMPUTED_VALUE"""),300.0)</f>
        <v>300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>
        <f>IFERROR(__xludf.DUMMYFUNCTION("""COMPUTED_VALUE"""),292.0)</f>
        <v>292</v>
      </c>
      <c r="B293" s="8" t="str">
        <f>IFERROR(__xludf.DUMMYFUNCTION("""COMPUTED_VALUE"""),"Garnet Jade")</f>
        <v>Garnet Jade</v>
      </c>
      <c r="C293" s="13">
        <f>IFERROR(__xludf.DUMMYFUNCTION("""COMPUTED_VALUE"""),300.0)</f>
        <v>300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>
        <f>IFERROR(__xludf.DUMMYFUNCTION("""COMPUTED_VALUE"""),293.0)</f>
        <v>293</v>
      </c>
      <c r="B294" s="8" t="str">
        <f>IFERROR(__xludf.DUMMYFUNCTION("""COMPUTED_VALUE"""),"Oregon Jade")</f>
        <v>Oregon Jade</v>
      </c>
      <c r="C294" s="13">
        <f>IFERROR(__xludf.DUMMYFUNCTION("""COMPUTED_VALUE"""),300.0)</f>
        <v>300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>
        <f>IFERROR(__xludf.DUMMYFUNCTION("""COMPUTED_VALUE"""),294.0)</f>
        <v>294</v>
      </c>
      <c r="B295" s="8" t="str">
        <f>IFERROR(__xludf.DUMMYFUNCTION("""COMPUTED_VALUE"""),"Tashmarine Diopside")</f>
        <v>Tashmarine Diopside</v>
      </c>
      <c r="C295" s="13">
        <f>IFERROR(__xludf.DUMMYFUNCTION("""COMPUTED_VALUE"""),300.0)</f>
        <v>300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>
        <f>IFERROR(__xludf.DUMMYFUNCTION("""COMPUTED_VALUE"""),295.0)</f>
        <v>295</v>
      </c>
      <c r="B296" s="8" t="str">
        <f>IFERROR(__xludf.DUMMYFUNCTION("""COMPUTED_VALUE"""),"Blue Quartz")</f>
        <v>Blue Quartz</v>
      </c>
      <c r="C296" s="13">
        <f>IFERROR(__xludf.DUMMYFUNCTION("""COMPUTED_VALUE"""),300.0)</f>
        <v>300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>
        <f>IFERROR(__xludf.DUMMYFUNCTION("""COMPUTED_VALUE"""),296.0)</f>
        <v>296</v>
      </c>
      <c r="B297" s="8" t="str">
        <f>IFERROR(__xludf.DUMMYFUNCTION("""COMPUTED_VALUE"""),"Garnet Ruby")</f>
        <v>Garnet Ruby</v>
      </c>
      <c r="C297" s="13">
        <f>IFERROR(__xludf.DUMMYFUNCTION("""COMPUTED_VALUE"""),300.0)</f>
        <v>300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>
        <f>IFERROR(__xludf.DUMMYFUNCTION("""COMPUTED_VALUE"""),297.0)</f>
        <v>297</v>
      </c>
      <c r="B298" s="8" t="str">
        <f>IFERROR(__xludf.DUMMYFUNCTION("""COMPUTED_VALUE"""),"Oregon Sunstone")</f>
        <v>Oregon Sunstone</v>
      </c>
      <c r="C298" s="13">
        <f>IFERROR(__xludf.DUMMYFUNCTION("""COMPUTED_VALUE"""),300.0)</f>
        <v>300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>
        <f>IFERROR(__xludf.DUMMYFUNCTION("""COMPUTED_VALUE"""),298.0)</f>
        <v>298</v>
      </c>
      <c r="B299" s="8" t="str">
        <f>IFERROR(__xludf.DUMMYFUNCTION("""COMPUTED_VALUE"""),"Tecla Emerald")</f>
        <v>Tecla Emerald</v>
      </c>
      <c r="C299" s="13">
        <f>IFERROR(__xludf.DUMMYFUNCTION("""COMPUTED_VALUE"""),300.0)</f>
        <v>300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>
        <f>IFERROR(__xludf.DUMMYFUNCTION("""COMPUTED_VALUE"""),299.0)</f>
        <v>299</v>
      </c>
      <c r="B300" s="8" t="str">
        <f>IFERROR(__xludf.DUMMYFUNCTION("""COMPUTED_VALUE"""),"Blue Spinel")</f>
        <v>Blue Spinel</v>
      </c>
      <c r="C300" s="13">
        <f>IFERROR(__xludf.DUMMYFUNCTION("""COMPUTED_VALUE"""),300.0)</f>
        <v>300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>
        <f>IFERROR(__xludf.DUMMYFUNCTION("""COMPUTED_VALUE"""),300.0)</f>
        <v>300</v>
      </c>
      <c r="B301" s="8" t="str">
        <f>IFERROR(__xludf.DUMMYFUNCTION("""COMPUTED_VALUE"""),"Geneva Ruby")</f>
        <v>Geneva Ruby</v>
      </c>
      <c r="C301" s="13">
        <f>IFERROR(__xludf.DUMMYFUNCTION("""COMPUTED_VALUE"""),400.0)</f>
        <v>400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>
        <f>IFERROR(__xludf.DUMMYFUNCTION("""COMPUTED_VALUE"""),301.0)</f>
        <v>301</v>
      </c>
      <c r="B302" s="8" t="str">
        <f>IFERROR(__xludf.DUMMYFUNCTION("""COMPUTED_VALUE"""),"Oriental Amethyst")</f>
        <v>Oriental Amethyst</v>
      </c>
      <c r="C302" s="13">
        <f>IFERROR(__xludf.DUMMYFUNCTION("""COMPUTED_VALUE"""),400.0)</f>
        <v>400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>
        <f>IFERROR(__xludf.DUMMYFUNCTION("""COMPUTED_VALUE"""),302.0)</f>
        <v>302</v>
      </c>
      <c r="B303" s="8" t="str">
        <f>IFERROR(__xludf.DUMMYFUNCTION("""COMPUTED_VALUE"""),"Thulite")</f>
        <v>Thulite</v>
      </c>
      <c r="C303" s="13">
        <f>IFERROR(__xludf.DUMMYFUNCTION("""COMPUTED_VALUE"""),400.0)</f>
        <v>400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>
        <f>IFERROR(__xludf.DUMMYFUNCTION("""COMPUTED_VALUE"""),303.0)</f>
        <v>303</v>
      </c>
      <c r="B304" s="8" t="str">
        <f>IFERROR(__xludf.DUMMYFUNCTION("""COMPUTED_VALUE"""),"Blue Tiger's Eye")</f>
        <v>Blue Tiger's Eye</v>
      </c>
      <c r="C304" s="13">
        <f>IFERROR(__xludf.DUMMYFUNCTION("""COMPUTED_VALUE"""),400.0)</f>
        <v>400</v>
      </c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>
        <f>IFERROR(__xludf.DUMMYFUNCTION("""COMPUTED_VALUE"""),304.0)</f>
        <v>304</v>
      </c>
      <c r="B305" s="8" t="str">
        <f>IFERROR(__xludf.DUMMYFUNCTION("""COMPUTED_VALUE"""),"German Silver")</f>
        <v>German Silver</v>
      </c>
      <c r="C305" s="13">
        <f>IFERROR(__xludf.DUMMYFUNCTION("""COMPUTED_VALUE"""),400.0)</f>
        <v>400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>
        <f>IFERROR(__xludf.DUMMYFUNCTION("""COMPUTED_VALUE"""),305.0)</f>
        <v>305</v>
      </c>
      <c r="B306" s="8" t="str">
        <f>IFERROR(__xludf.DUMMYFUNCTION("""COMPUTED_VALUE"""),"Oriental Cat's Eye")</f>
        <v>Oriental Cat's Eye</v>
      </c>
      <c r="C306" s="13">
        <f>IFERROR(__xludf.DUMMYFUNCTION("""COMPUTED_VALUE"""),400.0)</f>
        <v>400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>
        <f>IFERROR(__xludf.DUMMYFUNCTION("""COMPUTED_VALUE"""),306.0)</f>
        <v>306</v>
      </c>
      <c r="B307" s="8" t="str">
        <f>IFERROR(__xludf.DUMMYFUNCTION("""COMPUTED_VALUE"""),"Tiger Eye")</f>
        <v>Tiger Eye</v>
      </c>
      <c r="C307" s="13">
        <f>IFERROR(__xludf.DUMMYFUNCTION("""COMPUTED_VALUE"""),400.0)</f>
        <v>400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>
        <f>IFERROR(__xludf.DUMMYFUNCTION("""COMPUTED_VALUE"""),307.0)</f>
        <v>307</v>
      </c>
      <c r="B308" s="8" t="str">
        <f>IFERROR(__xludf.DUMMYFUNCTION("""COMPUTED_VALUE"""),"Blue Zoisite")</f>
        <v>Blue Zoisite</v>
      </c>
      <c r="C308" s="13">
        <f>IFERROR(__xludf.DUMMYFUNCTION("""COMPUTED_VALUE"""),400.0)</f>
        <v>400</v>
      </c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>
        <f>IFERROR(__xludf.DUMMYFUNCTION("""COMPUTED_VALUE"""),308.0)</f>
        <v>308</v>
      </c>
      <c r="B309" s="8" t="str">
        <f>IFERROR(__xludf.DUMMYFUNCTION("""COMPUTED_VALUE"""),"Gilson Emerald")</f>
        <v>Gilson Emerald</v>
      </c>
      <c r="C309" s="13">
        <f>IFERROR(__xludf.DUMMYFUNCTION("""COMPUTED_VALUE"""),400.0)</f>
        <v>400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>
        <f>IFERROR(__xludf.DUMMYFUNCTION("""COMPUTED_VALUE"""),309.0)</f>
        <v>309</v>
      </c>
      <c r="B310" s="8" t="str">
        <f>IFERROR(__xludf.DUMMYFUNCTION("""COMPUTED_VALUE"""),"Oriental Emerald")</f>
        <v>Oriental Emerald</v>
      </c>
      <c r="C310" s="13">
        <f>IFERROR(__xludf.DUMMYFUNCTION("""COMPUTED_VALUE"""),400.0)</f>
        <v>400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>
        <f>IFERROR(__xludf.DUMMYFUNCTION("""COMPUTED_VALUE"""),310.0)</f>
        <v>310</v>
      </c>
      <c r="B311" s="8" t="str">
        <f>IFERROR(__xludf.DUMMYFUNCTION("""COMPUTED_VALUE"""),"Tiger Iron")</f>
        <v>Tiger Iron</v>
      </c>
      <c r="C311" s="13">
        <f>IFERROR(__xludf.DUMMYFUNCTION("""COMPUTED_VALUE"""),400.0)</f>
        <v>400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>
        <f>IFERROR(__xludf.DUMMYFUNCTION("""COMPUTED_VALUE"""),311.0)</f>
        <v>311</v>
      </c>
      <c r="B312" s="8" t="str">
        <f>IFERROR(__xludf.DUMMYFUNCTION("""COMPUTED_VALUE"""),"Bohemian Emerald")</f>
        <v>Bohemian Emerald</v>
      </c>
      <c r="C312" s="13">
        <f>IFERROR(__xludf.DUMMYFUNCTION("""COMPUTED_VALUE"""),400.0)</f>
        <v>400</v>
      </c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>
        <f>IFERROR(__xludf.DUMMYFUNCTION("""COMPUTED_VALUE"""),312.0)</f>
        <v>312</v>
      </c>
      <c r="B313" s="8" t="str">
        <f>IFERROR(__xludf.DUMMYFUNCTION("""COMPUTED_VALUE"""),"Gilson Lapis")</f>
        <v>Gilson Lapis</v>
      </c>
      <c r="C313" s="13">
        <f>IFERROR(__xludf.DUMMYFUNCTION("""COMPUTED_VALUE"""),400.0)</f>
        <v>400</v>
      </c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>
        <f>IFERROR(__xludf.DUMMYFUNCTION("""COMPUTED_VALUE"""),313.0)</f>
        <v>313</v>
      </c>
      <c r="B314" s="8" t="str">
        <f>IFERROR(__xludf.DUMMYFUNCTION("""COMPUTED_VALUE"""),"Oriental Pearl")</f>
        <v>Oriental Pearl</v>
      </c>
      <c r="C314" s="13">
        <f>IFERROR(__xludf.DUMMYFUNCTION("""COMPUTED_VALUE"""),400.0)</f>
        <v>400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>
        <f>IFERROR(__xludf.DUMMYFUNCTION("""COMPUTED_VALUE"""),314.0)</f>
        <v>314</v>
      </c>
      <c r="B315" s="8" t="str">
        <f>IFERROR(__xludf.DUMMYFUNCTION("""COMPUTED_VALUE"""),"Tigereye")</f>
        <v>Tigereye</v>
      </c>
      <c r="C315" s="13">
        <f>IFERROR(__xludf.DUMMYFUNCTION("""COMPUTED_VALUE"""),400.0)</f>
        <v>400</v>
      </c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>
        <f>IFERROR(__xludf.DUMMYFUNCTION("""COMPUTED_VALUE"""),315.0)</f>
        <v>315</v>
      </c>
      <c r="B316" s="8" t="str">
        <f>IFERROR(__xludf.DUMMYFUNCTION("""COMPUTED_VALUE"""),"Bohemian Garnet")</f>
        <v>Bohemian Garnet</v>
      </c>
      <c r="C316" s="13">
        <f>IFERROR(__xludf.DUMMYFUNCTION("""COMPUTED_VALUE"""),400.0)</f>
        <v>400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>
        <f>IFERROR(__xludf.DUMMYFUNCTION("""COMPUTED_VALUE"""),316.0)</f>
        <v>316</v>
      </c>
      <c r="B317" s="8" t="str">
        <f>IFERROR(__xludf.DUMMYFUNCTION("""COMPUTED_VALUE"""),"Gilson Opal")</f>
        <v>Gilson Opal</v>
      </c>
      <c r="C317" s="13">
        <f>IFERROR(__xludf.DUMMYFUNCTION("""COMPUTED_VALUE"""),400.0)</f>
        <v>400</v>
      </c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>
        <f>IFERROR(__xludf.DUMMYFUNCTION("""COMPUTED_VALUE"""),317.0)</f>
        <v>317</v>
      </c>
      <c r="B318" s="8" t="str">
        <f>IFERROR(__xludf.DUMMYFUNCTION("""COMPUTED_VALUE"""),"Oriental Peridot")</f>
        <v>Oriental Peridot</v>
      </c>
      <c r="C318" s="13">
        <f>IFERROR(__xludf.DUMMYFUNCTION("""COMPUTED_VALUE"""),400.0)</f>
        <v>400</v>
      </c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>
        <f>IFERROR(__xludf.DUMMYFUNCTION("""COMPUTED_VALUE"""),318.0)</f>
        <v>318</v>
      </c>
      <c r="B319" s="8" t="str">
        <f>IFERROR(__xludf.DUMMYFUNCTION("""COMPUTED_VALUE"""),"Tigers Eye")</f>
        <v>Tigers Eye</v>
      </c>
      <c r="C319" s="13">
        <f>IFERROR(__xludf.DUMMYFUNCTION("""COMPUTED_VALUE"""),400.0)</f>
        <v>400</v>
      </c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>
        <f>IFERROR(__xludf.DUMMYFUNCTION("""COMPUTED_VALUE"""),319.0)</f>
        <v>319</v>
      </c>
      <c r="B320" s="8" t="str">
        <f>IFERROR(__xludf.DUMMYFUNCTION("""COMPUTED_VALUE"""),"Bohemian Ruby")</f>
        <v>Bohemian Ruby</v>
      </c>
      <c r="C320" s="13">
        <f>IFERROR(__xludf.DUMMYFUNCTION("""COMPUTED_VALUE"""),400.0)</f>
        <v>400</v>
      </c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>
        <f>IFERROR(__xludf.DUMMYFUNCTION("""COMPUTED_VALUE"""),320.0)</f>
        <v>320</v>
      </c>
      <c r="B321" s="8" t="str">
        <f>IFERROR(__xludf.DUMMYFUNCTION("""COMPUTED_VALUE"""),"Gold Sapphire")</f>
        <v>Gold Sapphire</v>
      </c>
      <c r="C321" s="13">
        <f>IFERROR(__xludf.DUMMYFUNCTION("""COMPUTED_VALUE"""),400.0)</f>
        <v>400</v>
      </c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>
        <f>IFERROR(__xludf.DUMMYFUNCTION("""COMPUTED_VALUE"""),321.0)</f>
        <v>321</v>
      </c>
      <c r="B322" s="8" t="str">
        <f>IFERROR(__xludf.DUMMYFUNCTION("""COMPUTED_VALUE"""),"Oriental Topaz")</f>
        <v>Oriental Topaz</v>
      </c>
      <c r="C322" s="13">
        <f>IFERROR(__xludf.DUMMYFUNCTION("""COMPUTED_VALUE"""),400.0)</f>
        <v>400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>
        <f>IFERROR(__xludf.DUMMYFUNCTION("""COMPUTED_VALUE"""),322.0)</f>
        <v>322</v>
      </c>
      <c r="B323" s="8" t="str">
        <f>IFERROR(__xludf.DUMMYFUNCTION("""COMPUTED_VALUE"""),"Tiger's Eye")</f>
        <v>Tiger's Eye</v>
      </c>
      <c r="C323" s="13">
        <f>IFERROR(__xludf.DUMMYFUNCTION("""COMPUTED_VALUE"""),400.0)</f>
        <v>400</v>
      </c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>
        <f>IFERROR(__xludf.DUMMYFUNCTION("""COMPUTED_VALUE"""),323.0)</f>
        <v>323</v>
      </c>
      <c r="B324" s="8" t="str">
        <f>IFERROR(__xludf.DUMMYFUNCTION("""COMPUTED_VALUE"""),"Bone Turquoise")</f>
        <v>Bone Turquoise</v>
      </c>
      <c r="C324" s="13">
        <f>IFERROR(__xludf.DUMMYFUNCTION("""COMPUTED_VALUE"""),400.0)</f>
        <v>400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>
        <f>IFERROR(__xludf.DUMMYFUNCTION("""COMPUTED_VALUE"""),324.0)</f>
        <v>324</v>
      </c>
      <c r="B325" s="8" t="str">
        <f>IFERROR(__xludf.DUMMYFUNCTION("""COMPUTED_VALUE"""),"Gold Topaz")</f>
        <v>Gold Topaz</v>
      </c>
      <c r="C325" s="13">
        <f>IFERROR(__xludf.DUMMYFUNCTION("""COMPUTED_VALUE"""),400.0)</f>
        <v>400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>
        <f>IFERROR(__xludf.DUMMYFUNCTION("""COMPUTED_VALUE"""),325.0)</f>
        <v>325</v>
      </c>
      <c r="B326" s="8" t="str">
        <f>IFERROR(__xludf.DUMMYFUNCTION("""COMPUTED_VALUE"""),"Oriental White Sapphire")</f>
        <v>Oriental White Sapphire</v>
      </c>
      <c r="C326" s="13">
        <f>IFERROR(__xludf.DUMMYFUNCTION("""COMPUTED_VALUE"""),400.0)</f>
        <v>400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>
        <f>IFERROR(__xludf.DUMMYFUNCTION("""COMPUTED_VALUE"""),326.0)</f>
        <v>326</v>
      </c>
      <c r="B327" s="8" t="str">
        <f>IFERROR(__xludf.DUMMYFUNCTION("""COMPUTED_VALUE"""),"Tiger's Eye Matrix")</f>
        <v>Tiger's Eye Matrix</v>
      </c>
      <c r="C327" s="13">
        <f>IFERROR(__xludf.DUMMYFUNCTION("""COMPUTED_VALUE"""),400.0)</f>
        <v>400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>
        <f>IFERROR(__xludf.DUMMYFUNCTION("""COMPUTED_VALUE"""),327.0)</f>
        <v>327</v>
      </c>
      <c r="B328" s="8" t="str">
        <f>IFERROR(__xludf.DUMMYFUNCTION("""COMPUTED_VALUE"""),"Bony Amber")</f>
        <v>Bony Amber</v>
      </c>
      <c r="C328" s="13">
        <f>IFERROR(__xludf.DUMMYFUNCTION("""COMPUTED_VALUE"""),400.0)</f>
        <v>400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>
        <f>IFERROR(__xludf.DUMMYFUNCTION("""COMPUTED_VALUE"""),328.0)</f>
        <v>328</v>
      </c>
      <c r="B329" s="8" t="str">
        <f>IFERROR(__xludf.DUMMYFUNCTION("""COMPUTED_VALUE"""),"Golden Beryl")</f>
        <v>Golden Beryl</v>
      </c>
      <c r="C329" s="13">
        <f>IFERROR(__xludf.DUMMYFUNCTION("""COMPUTED_VALUE"""),400.0)</f>
        <v>400</v>
      </c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>
        <f>IFERROR(__xludf.DUMMYFUNCTION("""COMPUTED_VALUE"""),329.0)</f>
        <v>329</v>
      </c>
      <c r="B330" s="8" t="str">
        <f>IFERROR(__xludf.DUMMYFUNCTION("""COMPUTED_VALUE"""),"Owyhee Jasper")</f>
        <v>Owyhee Jasper</v>
      </c>
      <c r="C330" s="13">
        <f>IFERROR(__xludf.DUMMYFUNCTION("""COMPUTED_VALUE"""),400.0)</f>
        <v>400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>
        <f>IFERROR(__xludf.DUMMYFUNCTION("""COMPUTED_VALUE"""),330.0)</f>
        <v>330</v>
      </c>
      <c r="B331" s="8" t="str">
        <f>IFERROR(__xludf.DUMMYFUNCTION("""COMPUTED_VALUE"""),"Topaz Quartz")</f>
        <v>Topaz Quartz</v>
      </c>
      <c r="C331" s="13">
        <f>IFERROR(__xludf.DUMMYFUNCTION("""COMPUTED_VALUE"""),400.0)</f>
        <v>400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>
        <f>IFERROR(__xludf.DUMMYFUNCTION("""COMPUTED_VALUE"""),331.0)</f>
        <v>331</v>
      </c>
      <c r="B332" s="8" t="str">
        <f>IFERROR(__xludf.DUMMYFUNCTION("""COMPUTED_VALUE"""),"Bort")</f>
        <v>Bort</v>
      </c>
      <c r="C332" s="13">
        <f>IFERROR(__xludf.DUMMYFUNCTION("""COMPUTED_VALUE"""),400.0)</f>
        <v>400</v>
      </c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>
        <f>IFERROR(__xludf.DUMMYFUNCTION("""COMPUTED_VALUE"""),332.0)</f>
        <v>332</v>
      </c>
      <c r="B333" s="8" t="str">
        <f>IFERROR(__xludf.DUMMYFUNCTION("""COMPUTED_VALUE"""),"Gooseberry Garnet")</f>
        <v>Gooseberry Garnet</v>
      </c>
      <c r="C333" s="13">
        <f>IFERROR(__xludf.DUMMYFUNCTION("""COMPUTED_VALUE"""),400.0)</f>
        <v>400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>
        <f>IFERROR(__xludf.DUMMYFUNCTION("""COMPUTED_VALUE"""),333.0)</f>
        <v>333</v>
      </c>
      <c r="B334" s="8" t="str">
        <f>IFERROR(__xludf.DUMMYFUNCTION("""COMPUTED_VALUE"""),"Padparadschah")</f>
        <v>Padparadschah</v>
      </c>
      <c r="C334" s="13">
        <f>IFERROR(__xludf.DUMMYFUNCTION("""COMPUTED_VALUE"""),400.0)</f>
        <v>400</v>
      </c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>
        <f>IFERROR(__xludf.DUMMYFUNCTION("""COMPUTED_VALUE"""),334.0)</f>
        <v>334</v>
      </c>
      <c r="B335" s="8" t="str">
        <f>IFERROR(__xludf.DUMMYFUNCTION("""COMPUTED_VALUE"""),"Topazolite")</f>
        <v>Topazolite</v>
      </c>
      <c r="C335" s="13">
        <f>IFERROR(__xludf.DUMMYFUNCTION("""COMPUTED_VALUE"""),400.0)</f>
        <v>400</v>
      </c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>
        <f>IFERROR(__xludf.DUMMYFUNCTION("""COMPUTED_VALUE"""),335.0)</f>
        <v>335</v>
      </c>
      <c r="B336" s="8" t="str">
        <f>IFERROR(__xludf.DUMMYFUNCTION("""COMPUTED_VALUE"""),"Botswana Agate")</f>
        <v>Botswana Agate</v>
      </c>
      <c r="C336" s="13">
        <f>IFERROR(__xludf.DUMMYFUNCTION("""COMPUTED_VALUE"""),400.0)</f>
        <v>400</v>
      </c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>
        <f>IFERROR(__xludf.DUMMYFUNCTION("""COMPUTED_VALUE"""),336.0)</f>
        <v>336</v>
      </c>
      <c r="B337" s="8" t="str">
        <f>IFERROR(__xludf.DUMMYFUNCTION("""COMPUTED_VALUE"""),"Goshenite")</f>
        <v>Goshenite</v>
      </c>
      <c r="C337" s="13">
        <f>IFERROR(__xludf.DUMMYFUNCTION("""COMPUTED_VALUE"""),400.0)</f>
        <v>400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>
        <f>IFERROR(__xludf.DUMMYFUNCTION("""COMPUTED_VALUE"""),337.0)</f>
        <v>337</v>
      </c>
      <c r="B338" s="8" t="str">
        <f>IFERROR(__xludf.DUMMYFUNCTION("""COMPUTED_VALUE"""),"Paraiba Tourmaline")</f>
        <v>Paraiba Tourmaline</v>
      </c>
      <c r="C338" s="13">
        <f>IFERROR(__xludf.DUMMYFUNCTION("""COMPUTED_VALUE"""),400.0)</f>
        <v>400</v>
      </c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>
        <f>IFERROR(__xludf.DUMMYFUNCTION("""COMPUTED_VALUE"""),338.0)</f>
        <v>338</v>
      </c>
      <c r="B339" s="8" t="str">
        <f>IFERROR(__xludf.DUMMYFUNCTION("""COMPUTED_VALUE"""),"Tourmalinated Quartz")</f>
        <v>Tourmalinated Quartz</v>
      </c>
      <c r="C339" s="13">
        <f>IFERROR(__xludf.DUMMYFUNCTION("""COMPUTED_VALUE"""),400.0)</f>
        <v>400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>
        <f>IFERROR(__xludf.DUMMYFUNCTION("""COMPUTED_VALUE"""),339.0)</f>
        <v>339</v>
      </c>
      <c r="B340" s="8" t="str">
        <f>IFERROR(__xludf.DUMMYFUNCTION("""COMPUTED_VALUE"""),"Boulder Opal")</f>
        <v>Boulder Opal</v>
      </c>
      <c r="C340" s="13">
        <f>IFERROR(__xludf.DUMMYFUNCTION("""COMPUTED_VALUE"""),400.0)</f>
        <v>400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>
        <f>IFERROR(__xludf.DUMMYFUNCTION("""COMPUTED_VALUE"""),340.0)</f>
        <v>340</v>
      </c>
      <c r="B341" s="8" t="str">
        <f>IFERROR(__xludf.DUMMYFUNCTION("""COMPUTED_VALUE"""),"Green Amethyst")</f>
        <v>Green Amethyst</v>
      </c>
      <c r="C341" s="13">
        <f>IFERROR(__xludf.DUMMYFUNCTION("""COMPUTED_VALUE"""),400.0)</f>
        <v>400</v>
      </c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>
        <f>IFERROR(__xludf.DUMMYFUNCTION("""COMPUTED_VALUE"""),341.0)</f>
        <v>341</v>
      </c>
      <c r="B342" s="8" t="str">
        <f>IFERROR(__xludf.DUMMYFUNCTION("""COMPUTED_VALUE"""),"Pecos Diamond")</f>
        <v>Pecos Diamond</v>
      </c>
      <c r="C342" s="13">
        <f>IFERROR(__xludf.DUMMYFUNCTION("""COMPUTED_VALUE"""),400.0)</f>
        <v>400</v>
      </c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>
        <f>IFERROR(__xludf.DUMMYFUNCTION("""COMPUTED_VALUE"""),342.0)</f>
        <v>342</v>
      </c>
      <c r="B343" s="8" t="str">
        <f>IFERROR(__xludf.DUMMYFUNCTION("""COMPUTED_VALUE"""),"Traansvaal Emerald")</f>
        <v>Traansvaal Emerald</v>
      </c>
      <c r="C343" s="13">
        <f>IFERROR(__xludf.DUMMYFUNCTION("""COMPUTED_VALUE"""),400.0)</f>
        <v>400</v>
      </c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>
        <f>IFERROR(__xludf.DUMMYFUNCTION("""COMPUTED_VALUE"""),343.0)</f>
        <v>343</v>
      </c>
      <c r="B344" s="8" t="str">
        <f>IFERROR(__xludf.DUMMYFUNCTION("""COMPUTED_VALUE"""),"Brazilian Aquamarine")</f>
        <v>Brazilian Aquamarine</v>
      </c>
      <c r="C344" s="13">
        <f>IFERROR(__xludf.DUMMYFUNCTION("""COMPUTED_VALUE"""),400.0)</f>
        <v>400</v>
      </c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>
        <f>IFERROR(__xludf.DUMMYFUNCTION("""COMPUTED_VALUE"""),344.0)</f>
        <v>344</v>
      </c>
      <c r="B345" s="8" t="str">
        <f>IFERROR(__xludf.DUMMYFUNCTION("""COMPUTED_VALUE"""),"Green Gold")</f>
        <v>Green Gold</v>
      </c>
      <c r="C345" s="13">
        <f>IFERROR(__xludf.DUMMYFUNCTION("""COMPUTED_VALUE"""),400.0)</f>
        <v>400</v>
      </c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>
        <f>IFERROR(__xludf.DUMMYFUNCTION("""COMPUTED_VALUE"""),345.0)</f>
        <v>345</v>
      </c>
      <c r="B346" s="8" t="str">
        <f>IFERROR(__xludf.DUMMYFUNCTION("""COMPUTED_VALUE"""),"Persian Turquoise")</f>
        <v>Persian Turquoise</v>
      </c>
      <c r="C346" s="13">
        <f>IFERROR(__xludf.DUMMYFUNCTION("""COMPUTED_VALUE"""),400.0)</f>
        <v>400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>
        <f>IFERROR(__xludf.DUMMYFUNCTION("""COMPUTED_VALUE"""),346.0)</f>
        <v>346</v>
      </c>
      <c r="B347" s="8" t="str">
        <f>IFERROR(__xludf.DUMMYFUNCTION("""COMPUTED_VALUE"""),"Transvaal Jade")</f>
        <v>Transvaal Jade</v>
      </c>
      <c r="C347" s="13">
        <f>IFERROR(__xludf.DUMMYFUNCTION("""COMPUTED_VALUE"""),400.0)</f>
        <v>400</v>
      </c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>
        <f>IFERROR(__xludf.DUMMYFUNCTION("""COMPUTED_VALUE"""),347.0)</f>
        <v>347</v>
      </c>
      <c r="B348" s="8" t="str">
        <f>IFERROR(__xludf.DUMMYFUNCTION("""COMPUTED_VALUE"""),"Brazilian Emerald")</f>
        <v>Brazilian Emerald</v>
      </c>
      <c r="C348" s="13">
        <f>IFERROR(__xludf.DUMMYFUNCTION("""COMPUTED_VALUE"""),400.0)</f>
        <v>400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>
        <f>IFERROR(__xludf.DUMMYFUNCTION("""COMPUTED_VALUE"""),348.0)</f>
        <v>348</v>
      </c>
      <c r="B349" s="8" t="str">
        <f>IFERROR(__xludf.DUMMYFUNCTION("""COMPUTED_VALUE"""),"Green Jasper")</f>
        <v>Green Jasper</v>
      </c>
      <c r="C349" s="13">
        <f>IFERROR(__xludf.DUMMYFUNCTION("""COMPUTED_VALUE"""),400.0)</f>
        <v>400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>
        <f>IFERROR(__xludf.DUMMYFUNCTION("""COMPUTED_VALUE"""),349.0)</f>
        <v>349</v>
      </c>
      <c r="B350" s="8" t="str">
        <f>IFERROR(__xludf.DUMMYFUNCTION("""COMPUTED_VALUE"""),"Petschite")</f>
        <v>Petschite</v>
      </c>
      <c r="C350" s="13">
        <f>IFERROR(__xludf.DUMMYFUNCTION("""COMPUTED_VALUE"""),400.0)</f>
        <v>400</v>
      </c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>
        <f>IFERROR(__xludf.DUMMYFUNCTION("""COMPUTED_VALUE"""),350.0)</f>
        <v>350</v>
      </c>
      <c r="B351" s="8" t="str">
        <f>IFERROR(__xludf.DUMMYFUNCTION("""COMPUTED_VALUE"""),"Trapiche Emerald")</f>
        <v>Trapiche Emerald</v>
      </c>
      <c r="C351" s="13">
        <f>IFERROR(__xludf.DUMMYFUNCTION("""COMPUTED_VALUE"""),400.0)</f>
        <v>400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>
        <f>IFERROR(__xludf.DUMMYFUNCTION("""COMPUTED_VALUE"""),351.0)</f>
        <v>351</v>
      </c>
      <c r="B352" s="8" t="str">
        <f>IFERROR(__xludf.DUMMYFUNCTION("""COMPUTED_VALUE"""),"Brazilian Ruby")</f>
        <v>Brazilian Ruby</v>
      </c>
      <c r="C352" s="13">
        <f>IFERROR(__xludf.DUMMYFUNCTION("""COMPUTED_VALUE"""),400.0)</f>
        <v>400</v>
      </c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>
        <f>IFERROR(__xludf.DUMMYFUNCTION("""COMPUTED_VALUE"""),352.0)</f>
        <v>352</v>
      </c>
      <c r="B353" s="8" t="str">
        <f>IFERROR(__xludf.DUMMYFUNCTION("""COMPUTED_VALUE"""),"Grossularite")</f>
        <v>Grossularite</v>
      </c>
      <c r="C353" s="13">
        <f>IFERROR(__xludf.DUMMYFUNCTION("""COMPUTED_VALUE"""),400.0)</f>
        <v>400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>
        <f>IFERROR(__xludf.DUMMYFUNCTION("""COMPUTED_VALUE"""),353.0)</f>
        <v>353</v>
      </c>
      <c r="B354" s="8" t="str">
        <f>IFERROR(__xludf.DUMMYFUNCTION("""COMPUTED_VALUE"""),"Pezzottaite")</f>
        <v>Pezzottaite</v>
      </c>
      <c r="C354" s="13">
        <f>IFERROR(__xludf.DUMMYFUNCTION("""COMPUTED_VALUE"""),400.0)</f>
        <v>400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>
        <f>IFERROR(__xludf.DUMMYFUNCTION("""COMPUTED_VALUE"""),354.0)</f>
        <v>354</v>
      </c>
      <c r="B355" s="8" t="str">
        <f>IFERROR(__xludf.DUMMYFUNCTION("""COMPUTED_VALUE"""),"Triphane")</f>
        <v>Triphane</v>
      </c>
      <c r="C355" s="13">
        <f>IFERROR(__xludf.DUMMYFUNCTION("""COMPUTED_VALUE"""),400.0)</f>
        <v>400</v>
      </c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>
        <f>IFERROR(__xludf.DUMMYFUNCTION("""COMPUTED_VALUE"""),355.0)</f>
        <v>355</v>
      </c>
      <c r="B356" s="8" t="str">
        <f>IFERROR(__xludf.DUMMYFUNCTION("""COMPUTED_VALUE"""),"Brazilian Sapphire")</f>
        <v>Brazilian Sapphire</v>
      </c>
      <c r="C356" s="13">
        <f>IFERROR(__xludf.DUMMYFUNCTION("""COMPUTED_VALUE"""),400.0)</f>
        <v>400</v>
      </c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>
        <f>IFERROR(__xludf.DUMMYFUNCTION("""COMPUTED_VALUE"""),356.0)</f>
        <v>356</v>
      </c>
      <c r="B357" s="8" t="str">
        <f>IFERROR(__xludf.DUMMYFUNCTION("""COMPUTED_VALUE"""),"Hackmanite")</f>
        <v>Hackmanite</v>
      </c>
      <c r="C357" s="13">
        <f>IFERROR(__xludf.DUMMYFUNCTION("""COMPUTED_VALUE"""),400.0)</f>
        <v>400</v>
      </c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>
        <f>IFERROR(__xludf.DUMMYFUNCTION("""COMPUTED_VALUE"""),357.0)</f>
        <v>357</v>
      </c>
      <c r="B358" s="8" t="str">
        <f>IFERROR(__xludf.DUMMYFUNCTION("""COMPUTED_VALUE"""),"Piconite")</f>
        <v>Piconite</v>
      </c>
      <c r="C358" s="13">
        <f>IFERROR(__xludf.DUMMYFUNCTION("""COMPUTED_VALUE"""),400.0)</f>
        <v>400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>
        <f>IFERROR(__xludf.DUMMYFUNCTION("""COMPUTED_VALUE"""),358.0)</f>
        <v>358</v>
      </c>
      <c r="B359" s="8" t="str">
        <f>IFERROR(__xludf.DUMMYFUNCTION("""COMPUTED_VALUE"""),"Tsavorite")</f>
        <v>Tsavorite</v>
      </c>
      <c r="C359" s="13">
        <f>IFERROR(__xludf.DUMMYFUNCTION("""COMPUTED_VALUE"""),400.0)</f>
        <v>400</v>
      </c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>
        <f>IFERROR(__xludf.DUMMYFUNCTION("""COMPUTED_VALUE"""),359.0)</f>
        <v>359</v>
      </c>
      <c r="B360" s="8" t="str">
        <f>IFERROR(__xludf.DUMMYFUNCTION("""COMPUTED_VALUE"""),"Brazilian Topaz")</f>
        <v>Brazilian Topaz</v>
      </c>
      <c r="C360" s="13">
        <f>IFERROR(__xludf.DUMMYFUNCTION("""COMPUTED_VALUE"""),400.0)</f>
        <v>400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>
        <f>IFERROR(__xludf.DUMMYFUNCTION("""COMPUTED_VALUE"""),360.0)</f>
        <v>360</v>
      </c>
      <c r="B361" s="8" t="str">
        <f>IFERROR(__xludf.DUMMYFUNCTION("""COMPUTED_VALUE"""),"Halfbreed")</f>
        <v>Halfbreed</v>
      </c>
      <c r="C361" s="13">
        <f>IFERROR(__xludf.DUMMYFUNCTION("""COMPUTED_VALUE"""),400.0)</f>
        <v>400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>
        <f>IFERROR(__xludf.DUMMYFUNCTION("""COMPUTED_VALUE"""),361.0)</f>
        <v>361</v>
      </c>
      <c r="B362" s="8" t="str">
        <f>IFERROR(__xludf.DUMMYFUNCTION("""COMPUTED_VALUE"""),"Picotite")</f>
        <v>Picotite</v>
      </c>
      <c r="C362" s="13">
        <f>IFERROR(__xludf.DUMMYFUNCTION("""COMPUTED_VALUE"""),400.0)</f>
        <v>400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>
        <f>IFERROR(__xludf.DUMMYFUNCTION("""COMPUTED_VALUE"""),362.0)</f>
        <v>362</v>
      </c>
      <c r="B363" s="8" t="str">
        <f>IFERROR(__xludf.DUMMYFUNCTION("""COMPUTED_VALUE"""),"Turquoise Odontolite")</f>
        <v>Turquoise Odontolite</v>
      </c>
      <c r="C363" s="13">
        <f>IFERROR(__xludf.DUMMYFUNCTION("""COMPUTED_VALUE"""),400.0)</f>
        <v>400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>
        <f>IFERROR(__xludf.DUMMYFUNCTION("""COMPUTED_VALUE"""),363.0)</f>
        <v>363</v>
      </c>
      <c r="B364" s="8" t="str">
        <f>IFERROR(__xludf.DUMMYFUNCTION("""COMPUTED_VALUE"""),"Brecciated Jasper")</f>
        <v>Brecciated Jasper</v>
      </c>
      <c r="C364" s="13">
        <f>IFERROR(__xludf.DUMMYFUNCTION("""COMPUTED_VALUE"""),400.0)</f>
        <v>400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>
        <f>IFERROR(__xludf.DUMMYFUNCTION("""COMPUTED_VALUE"""),364.0)</f>
        <v>364</v>
      </c>
      <c r="B365" s="8" t="str">
        <f>IFERROR(__xludf.DUMMYFUNCTION("""COMPUTED_VALUE"""),"Harlequin Opal")</f>
        <v>Harlequin Opal</v>
      </c>
      <c r="C365" s="13">
        <f>IFERROR(__xludf.DUMMYFUNCTION("""COMPUTED_VALUE"""),400.0)</f>
        <v>400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>
        <f>IFERROR(__xludf.DUMMYFUNCTION("""COMPUTED_VALUE"""),365.0)</f>
        <v>365</v>
      </c>
      <c r="B366" s="8" t="str">
        <f>IFERROR(__xludf.DUMMYFUNCTION("""COMPUTED_VALUE"""),"Picture Jasper")</f>
        <v>Picture Jasper</v>
      </c>
      <c r="C366" s="13">
        <f>IFERROR(__xludf.DUMMYFUNCTION("""COMPUTED_VALUE"""),400.0)</f>
        <v>400</v>
      </c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>
        <f>IFERROR(__xludf.DUMMYFUNCTION("""COMPUTED_VALUE"""),366.0)</f>
        <v>366</v>
      </c>
      <c r="B367" s="8" t="str">
        <f>IFERROR(__xludf.DUMMYFUNCTION("""COMPUTED_VALUE"""),"Ultralite")</f>
        <v>Ultralite</v>
      </c>
      <c r="C367" s="13">
        <f>IFERROR(__xludf.DUMMYFUNCTION("""COMPUTED_VALUE"""),400.0)</f>
        <v>400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>
        <f>IFERROR(__xludf.DUMMYFUNCTION("""COMPUTED_VALUE"""),367.0)</f>
        <v>367</v>
      </c>
      <c r="B368" s="8" t="str">
        <f>IFERROR(__xludf.DUMMYFUNCTION("""COMPUTED_VALUE"""),"Bristol Diamond")</f>
        <v>Bristol Diamond</v>
      </c>
      <c r="C368" s="13">
        <f>IFERROR(__xludf.DUMMYFUNCTION("""COMPUTED_VALUE"""),400.0)</f>
        <v>400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>
        <f>IFERROR(__xludf.DUMMYFUNCTION("""COMPUTED_VALUE"""),368.0)</f>
        <v>368</v>
      </c>
      <c r="B369" s="8" t="str">
        <f>IFERROR(__xludf.DUMMYFUNCTION("""COMPUTED_VALUE"""),"Hawk's Eye")</f>
        <v>Hawk's Eye</v>
      </c>
      <c r="C369" s="13">
        <f>IFERROR(__xludf.DUMMYFUNCTION("""COMPUTED_VALUE"""),400.0)</f>
        <v>400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>
        <f>IFERROR(__xludf.DUMMYFUNCTION("""COMPUTED_VALUE"""),369.0)</f>
        <v>369</v>
      </c>
      <c r="B370" s="8" t="str">
        <f>IFERROR(__xludf.DUMMYFUNCTION("""COMPUTED_VALUE"""),"Pigeon's Blood Ruby")</f>
        <v>Pigeon's Blood Ruby</v>
      </c>
      <c r="C370" s="13">
        <f>IFERROR(__xludf.DUMMYFUNCTION("""COMPUTED_VALUE"""),400.0)</f>
        <v>400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>
        <f>IFERROR(__xludf.DUMMYFUNCTION("""COMPUTED_VALUE"""),370.0)</f>
        <v>370</v>
      </c>
      <c r="B371" s="8" t="str">
        <f>IFERROR(__xludf.DUMMYFUNCTION("""COMPUTED_VALUE"""),"Umba Garnet")</f>
        <v>Umba Garnet</v>
      </c>
      <c r="C371" s="13">
        <f>IFERROR(__xludf.DUMMYFUNCTION("""COMPUTED_VALUE"""),400.0)</f>
        <v>400</v>
      </c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>
        <f>IFERROR(__xludf.DUMMYFUNCTION("""COMPUTED_VALUE"""),371.0)</f>
        <v>371</v>
      </c>
      <c r="B372" s="8" t="str">
        <f>IFERROR(__xludf.DUMMYFUNCTION("""COMPUTED_VALUE"""),"Britannia Silver")</f>
        <v>Britannia Silver</v>
      </c>
      <c r="C372" s="13">
        <f>IFERROR(__xludf.DUMMYFUNCTION("""COMPUTED_VALUE"""),400.0)</f>
        <v>400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>
        <f>IFERROR(__xludf.DUMMYFUNCTION("""COMPUTED_VALUE"""),372.0)</f>
        <v>372</v>
      </c>
      <c r="B373" s="8" t="str">
        <f>IFERROR(__xludf.DUMMYFUNCTION("""COMPUTED_VALUE"""),"Heliodor")</f>
        <v>Heliodor</v>
      </c>
      <c r="C373" s="13">
        <f>IFERROR(__xludf.DUMMYFUNCTION("""COMPUTED_VALUE"""),400.0)</f>
        <v>400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>
        <f>IFERROR(__xludf.DUMMYFUNCTION("""COMPUTED_VALUE"""),373.0)</f>
        <v>373</v>
      </c>
      <c r="B374" s="8" t="str">
        <f>IFERROR(__xludf.DUMMYFUNCTION("""COMPUTED_VALUE"""),"Pinfire Opal")</f>
        <v>Pinfire Opal</v>
      </c>
      <c r="C374" s="13">
        <f>IFERROR(__xludf.DUMMYFUNCTION("""COMPUTED_VALUE"""),400.0)</f>
        <v>400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>
        <f>IFERROR(__xludf.DUMMYFUNCTION("""COMPUTED_VALUE"""),374.0)</f>
        <v>374</v>
      </c>
      <c r="B375" s="8" t="str">
        <f>IFERROR(__xludf.DUMMYFUNCTION("""COMPUTED_VALUE"""),"Umbalite")</f>
        <v>Umbalite</v>
      </c>
      <c r="C375" s="13">
        <f>IFERROR(__xludf.DUMMYFUNCTION("""COMPUTED_VALUE"""),400.0)</f>
        <v>400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>
        <f>IFERROR(__xludf.DUMMYFUNCTION("""COMPUTED_VALUE"""),375.0)</f>
        <v>375</v>
      </c>
      <c r="B376" s="8" t="str">
        <f>IFERROR(__xludf.DUMMYFUNCTION("""COMPUTED_VALUE"""),"Broghton Emerald")</f>
        <v>Broghton Emerald</v>
      </c>
      <c r="C376" s="13">
        <f>IFERROR(__xludf.DUMMYFUNCTION("""COMPUTED_VALUE"""),400.0)</f>
        <v>400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>
        <f>IFERROR(__xludf.DUMMYFUNCTION("""COMPUTED_VALUE"""),376.0)</f>
        <v>376</v>
      </c>
      <c r="B377" s="8" t="str">
        <f>IFERROR(__xludf.DUMMYFUNCTION("""COMPUTED_VALUE"""),"Heliodorite")</f>
        <v>Heliodorite</v>
      </c>
      <c r="C377" s="13">
        <f>IFERROR(__xludf.DUMMYFUNCTION("""COMPUTED_VALUE"""),400.0)</f>
        <v>400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>
        <f>IFERROR(__xludf.DUMMYFUNCTION("""COMPUTED_VALUE"""),377.0)</f>
        <v>377</v>
      </c>
      <c r="B378" s="8" t="str">
        <f>IFERROR(__xludf.DUMMYFUNCTION("""COMPUTED_VALUE"""),"Pink Beryl")</f>
        <v>Pink Beryl</v>
      </c>
      <c r="C378" s="13">
        <f>IFERROR(__xludf.DUMMYFUNCTION("""COMPUTED_VALUE"""),400.0)</f>
        <v>400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>
        <f>IFERROR(__xludf.DUMMYFUNCTION("""COMPUTED_VALUE"""),378.0)</f>
        <v>378</v>
      </c>
      <c r="B379" s="8" t="str">
        <f>IFERROR(__xludf.DUMMYFUNCTION("""COMPUTED_VALUE"""),"Uralian Emerald")</f>
        <v>Uralian Emerald</v>
      </c>
      <c r="C379" s="13">
        <f>IFERROR(__xludf.DUMMYFUNCTION("""COMPUTED_VALUE"""),400.0)</f>
        <v>400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>
        <f>IFERROR(__xludf.DUMMYFUNCTION("""COMPUTED_VALUE"""),379.0)</f>
        <v>379</v>
      </c>
      <c r="B380" s="8" t="str">
        <f>IFERROR(__xludf.DUMMYFUNCTION("""COMPUTED_VALUE"""),"Bruneau Jasper")</f>
        <v>Bruneau Jasper</v>
      </c>
      <c r="C380" s="13">
        <f>IFERROR(__xludf.DUMMYFUNCTION("""COMPUTED_VALUE"""),400.0)</f>
        <v>400</v>
      </c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>
        <f>IFERROR(__xludf.DUMMYFUNCTION("""COMPUTED_VALUE"""),380.0)</f>
        <v>380</v>
      </c>
      <c r="B381" s="8" t="str">
        <f>IFERROR(__xludf.DUMMYFUNCTION("""COMPUTED_VALUE"""),"Heliotrope")</f>
        <v>Heliotrope</v>
      </c>
      <c r="C381" s="13">
        <f>IFERROR(__xludf.DUMMYFUNCTION("""COMPUTED_VALUE"""),400.0)</f>
        <v>400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>
        <f>IFERROR(__xludf.DUMMYFUNCTION("""COMPUTED_VALUE"""),381.0)</f>
        <v>381</v>
      </c>
      <c r="B382" s="8" t="str">
        <f>IFERROR(__xludf.DUMMYFUNCTION("""COMPUTED_VALUE"""),"Pink Emerald")</f>
        <v>Pink Emerald</v>
      </c>
      <c r="C382" s="13">
        <f>IFERROR(__xludf.DUMMYFUNCTION("""COMPUTED_VALUE"""),400.0)</f>
        <v>400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>
        <f>IFERROR(__xludf.DUMMYFUNCTION("""COMPUTED_VALUE"""),382.0)</f>
        <v>382</v>
      </c>
      <c r="B383" s="8" t="str">
        <f>IFERROR(__xludf.DUMMYFUNCTION("""COMPUTED_VALUE"""),"Uralian Sapphire")</f>
        <v>Uralian Sapphire</v>
      </c>
      <c r="C383" s="13">
        <f>IFERROR(__xludf.DUMMYFUNCTION("""COMPUTED_VALUE"""),400.0)</f>
        <v>400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>
        <f>IFERROR(__xludf.DUMMYFUNCTION("""COMPUTED_VALUE"""),383.0)</f>
        <v>383</v>
      </c>
      <c r="B384" s="8" t="str">
        <f>IFERROR(__xludf.DUMMYFUNCTION("""COMPUTED_VALUE"""),"Burma Ruby")</f>
        <v>Burma Ruby</v>
      </c>
      <c r="C384" s="13">
        <f>IFERROR(__xludf.DUMMYFUNCTION("""COMPUTED_VALUE"""),400.0)</f>
        <v>400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>
        <f>IFERROR(__xludf.DUMMYFUNCTION("""COMPUTED_VALUE"""),384.0)</f>
        <v>384</v>
      </c>
      <c r="B385" s="8" t="str">
        <f>IFERROR(__xludf.DUMMYFUNCTION("""COMPUTED_VALUE"""),"Herkimer Diamond")</f>
        <v>Herkimer Diamond</v>
      </c>
      <c r="C385" s="13">
        <f>IFERROR(__xludf.DUMMYFUNCTION("""COMPUTED_VALUE"""),400.0)</f>
        <v>400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>
        <f>IFERROR(__xludf.DUMMYFUNCTION("""COMPUTED_VALUE"""),385.0)</f>
        <v>385</v>
      </c>
      <c r="B386" s="8" t="str">
        <f>IFERROR(__xludf.DUMMYFUNCTION("""COMPUTED_VALUE"""),"Plasma")</f>
        <v>Plasma</v>
      </c>
      <c r="C386" s="13">
        <f>IFERROR(__xludf.DUMMYFUNCTION("""COMPUTED_VALUE"""),400.0)</f>
        <v>400</v>
      </c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>
        <f>IFERROR(__xludf.DUMMYFUNCTION("""COMPUTED_VALUE"""),386.0)</f>
        <v>386</v>
      </c>
      <c r="B387" s="8" t="str">
        <f>IFERROR(__xludf.DUMMYFUNCTION("""COMPUTED_VALUE"""),"Utahlite")</f>
        <v>Utahlite</v>
      </c>
      <c r="C387" s="13">
        <f>IFERROR(__xludf.DUMMYFUNCTION("""COMPUTED_VALUE"""),400.0)</f>
        <v>400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>
        <f>IFERROR(__xludf.DUMMYFUNCTION("""COMPUTED_VALUE"""),387.0)</f>
        <v>387</v>
      </c>
      <c r="B388" s="8" t="str">
        <f>IFERROR(__xludf.DUMMYFUNCTION("""COMPUTED_VALUE"""),"Burma Sapphire")</f>
        <v>Burma Sapphire</v>
      </c>
      <c r="C388" s="13">
        <f>IFERROR(__xludf.DUMMYFUNCTION("""COMPUTED_VALUE"""),400.0)</f>
        <v>400</v>
      </c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>
        <f>IFERROR(__xludf.DUMMYFUNCTION("""COMPUTED_VALUE"""),388.0)</f>
        <v>388</v>
      </c>
      <c r="B389" s="8" t="str">
        <f>IFERROR(__xludf.DUMMYFUNCTION("""COMPUTED_VALUE"""),"Hessonite")</f>
        <v>Hessonite</v>
      </c>
      <c r="C389" s="13">
        <f>IFERROR(__xludf.DUMMYFUNCTION("""COMPUTED_VALUE"""),400.0)</f>
        <v>400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>
        <f>IFERROR(__xludf.DUMMYFUNCTION("""COMPUTED_VALUE"""),389.0)</f>
        <v>389</v>
      </c>
      <c r="B390" s="8" t="str">
        <f>IFERROR(__xludf.DUMMYFUNCTION("""COMPUTED_VALUE"""),"Pleonast")</f>
        <v>Pleonast</v>
      </c>
      <c r="C390" s="13">
        <f>IFERROR(__xludf.DUMMYFUNCTION("""COMPUTED_VALUE"""),400.0)</f>
        <v>400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>
        <f>IFERROR(__xludf.DUMMYFUNCTION("""COMPUTED_VALUE"""),390.0)</f>
        <v>390</v>
      </c>
      <c r="B391" s="8" t="str">
        <f>IFERROR(__xludf.DUMMYFUNCTION("""COMPUTED_VALUE"""),"Utahlite")</f>
        <v>Utahlite</v>
      </c>
      <c r="C391" s="13">
        <f>IFERROR(__xludf.DUMMYFUNCTION("""COMPUTED_VALUE"""),400.0)</f>
        <v>400</v>
      </c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>
        <f>IFERROR(__xludf.DUMMYFUNCTION("""COMPUTED_VALUE"""),391.0)</f>
        <v>391</v>
      </c>
      <c r="B392" s="8" t="str">
        <f>IFERROR(__xludf.DUMMYFUNCTION("""COMPUTED_VALUE"""),"Burmese Sapphire")</f>
        <v>Burmese Sapphire</v>
      </c>
      <c r="C392" s="13">
        <f>IFERROR(__xludf.DUMMYFUNCTION("""COMPUTED_VALUE"""),400.0)</f>
        <v>400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>
        <f>IFERROR(__xludf.DUMMYFUNCTION("""COMPUTED_VALUE"""),392.0)</f>
        <v>392</v>
      </c>
      <c r="B393" s="8" t="str">
        <f>IFERROR(__xludf.DUMMYFUNCTION("""COMPUTED_VALUE"""),"Hiddenite")</f>
        <v>Hiddenite</v>
      </c>
      <c r="C393" s="13">
        <f>IFERROR(__xludf.DUMMYFUNCTION("""COMPUTED_VALUE"""),400.0)</f>
        <v>400</v>
      </c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>
        <f>IFERROR(__xludf.DUMMYFUNCTION("""COMPUTED_VALUE"""),393.0)</f>
        <v>393</v>
      </c>
      <c r="B394" s="8" t="str">
        <f>IFERROR(__xludf.DUMMYFUNCTION("""COMPUTED_VALUE"""),"Pleonaste")</f>
        <v>Pleonaste</v>
      </c>
      <c r="C394" s="13">
        <f>IFERROR(__xludf.DUMMYFUNCTION("""COMPUTED_VALUE"""),400.0)</f>
        <v>400</v>
      </c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>
        <f>IFERROR(__xludf.DUMMYFUNCTION("""COMPUTED_VALUE"""),394.0)</f>
        <v>394</v>
      </c>
      <c r="B395" s="8" t="str">
        <f>IFERROR(__xludf.DUMMYFUNCTION("""COMPUTED_VALUE"""),"Vallum Diamond")</f>
        <v>Vallum Diamond</v>
      </c>
      <c r="C395" s="13">
        <f>IFERROR(__xludf.DUMMYFUNCTION("""COMPUTED_VALUE"""),400.0)</f>
        <v>400</v>
      </c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>
        <f>IFERROR(__xludf.DUMMYFUNCTION("""COMPUTED_VALUE"""),395.0)</f>
        <v>395</v>
      </c>
      <c r="B396" s="8" t="str">
        <f>IFERROR(__xludf.DUMMYFUNCTION("""COMPUTED_VALUE"""),"Burmese Ruby")</f>
        <v>Burmese Ruby</v>
      </c>
      <c r="C396" s="13">
        <f>IFERROR(__xludf.DUMMYFUNCTION("""COMPUTED_VALUE"""),400.0)</f>
        <v>400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>
        <f>IFERROR(__xludf.DUMMYFUNCTION("""COMPUTED_VALUE"""),396.0)</f>
        <v>396</v>
      </c>
      <c r="B397" s="8" t="str">
        <f>IFERROR(__xludf.DUMMYFUNCTION("""COMPUTED_VALUE"""),"Holly Blue")</f>
        <v>Holly Blue</v>
      </c>
      <c r="C397" s="13">
        <f>IFERROR(__xludf.DUMMYFUNCTION("""COMPUTED_VALUE"""),400.0)</f>
        <v>400</v>
      </c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>
        <f>IFERROR(__xludf.DUMMYFUNCTION("""COMPUTED_VALUE"""),397.0)</f>
        <v>397</v>
      </c>
      <c r="B398" s="8" t="str">
        <f>IFERROR(__xludf.DUMMYFUNCTION("""COMPUTED_VALUE"""),"Poppy Jasper")</f>
        <v>Poppy Jasper</v>
      </c>
      <c r="C398" s="13">
        <f>IFERROR(__xludf.DUMMYFUNCTION("""COMPUTED_VALUE"""),400.0)</f>
        <v>400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>
        <f>IFERROR(__xludf.DUMMYFUNCTION("""COMPUTED_VALUE"""),398.0)</f>
        <v>398</v>
      </c>
      <c r="B399" s="8" t="str">
        <f>IFERROR(__xludf.DUMMYFUNCTION("""COMPUTED_VALUE"""),"Variscite Quartz")</f>
        <v>Variscite Quartz</v>
      </c>
      <c r="C399" s="13">
        <f>IFERROR(__xludf.DUMMYFUNCTION("""COMPUTED_VALUE"""),400.0)</f>
        <v>400</v>
      </c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>
        <f>IFERROR(__xludf.DUMMYFUNCTION("""COMPUTED_VALUE"""),399.0)</f>
        <v>399</v>
      </c>
      <c r="B400" s="8" t="str">
        <f>IFERROR(__xludf.DUMMYFUNCTION("""COMPUTED_VALUE"""),"Burmite")</f>
        <v>Burmite</v>
      </c>
      <c r="C400" s="13">
        <f>IFERROR(__xludf.DUMMYFUNCTION("""COMPUTED_VALUE"""),400.0)</f>
        <v>400</v>
      </c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>
        <f>IFERROR(__xludf.DUMMYFUNCTION("""COMPUTED_VALUE"""),400.0)</f>
        <v>400</v>
      </c>
      <c r="B401" s="8" t="str">
        <f>IFERROR(__xludf.DUMMYFUNCTION("""COMPUTED_VALUE"""),"Honey Opal")</f>
        <v>Honey Opal</v>
      </c>
      <c r="C401" s="13">
        <f>IFERROR(__xludf.DUMMYFUNCTION("""COMPUTED_VALUE"""),500.0)</f>
        <v>500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>
        <f>IFERROR(__xludf.DUMMYFUNCTION("""COMPUTED_VALUE"""),401.0)</f>
        <v>401</v>
      </c>
      <c r="B402" s="8" t="str">
        <f>IFERROR(__xludf.DUMMYFUNCTION("""COMPUTED_VALUE"""),"Prase")</f>
        <v>Prase</v>
      </c>
      <c r="C402" s="13">
        <f>IFERROR(__xludf.DUMMYFUNCTION("""COMPUTED_VALUE"""),500.0)</f>
        <v>500</v>
      </c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>
        <f>IFERROR(__xludf.DUMMYFUNCTION("""COMPUTED_VALUE"""),402.0)</f>
        <v>402</v>
      </c>
      <c r="B403" s="8" t="str">
        <f>IFERROR(__xludf.DUMMYFUNCTION("""COMPUTED_VALUE"""),"Verdelite")</f>
        <v>Verdelite</v>
      </c>
      <c r="C403" s="13">
        <f>IFERROR(__xludf.DUMMYFUNCTION("""COMPUTED_VALUE"""),500.0)</f>
        <v>500</v>
      </c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>
        <f>IFERROR(__xludf.DUMMYFUNCTION("""COMPUTED_VALUE"""),403.0)</f>
        <v>403</v>
      </c>
      <c r="B404" s="8" t="str">
        <f>IFERROR(__xludf.DUMMYFUNCTION("""COMPUTED_VALUE"""),"Cairngorm")</f>
        <v>Cairngorm</v>
      </c>
      <c r="C404" s="13">
        <f>IFERROR(__xludf.DUMMYFUNCTION("""COMPUTED_VALUE"""),500.0)</f>
        <v>500</v>
      </c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>
        <f>IFERROR(__xludf.DUMMYFUNCTION("""COMPUTED_VALUE"""),404.0)</f>
        <v>404</v>
      </c>
      <c r="B405" s="8" t="str">
        <f>IFERROR(__xludf.DUMMYFUNCTION("""COMPUTED_VALUE"""),"Hope Sapphire")</f>
        <v>Hope Sapphire</v>
      </c>
      <c r="C405" s="13">
        <f>IFERROR(__xludf.DUMMYFUNCTION("""COMPUTED_VALUE"""),500.0)</f>
        <v>500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>
        <f>IFERROR(__xludf.DUMMYFUNCTION("""COMPUTED_VALUE"""),405.0)</f>
        <v>405</v>
      </c>
      <c r="B406" s="8" t="str">
        <f>IFERROR(__xludf.DUMMYFUNCTION("""COMPUTED_VALUE"""),"Prasiolite")</f>
        <v>Prasiolite</v>
      </c>
      <c r="C406" s="13">
        <f>IFERROR(__xludf.DUMMYFUNCTION("""COMPUTED_VALUE"""),500.0)</f>
        <v>500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>
        <f>IFERROR(__xludf.DUMMYFUNCTION("""COMPUTED_VALUE"""),406.0)</f>
        <v>406</v>
      </c>
      <c r="B407" s="8" t="str">
        <f>IFERROR(__xludf.DUMMYFUNCTION("""COMPUTED_VALUE"""),"Vermeil")</f>
        <v>Vermeil</v>
      </c>
      <c r="C407" s="13">
        <f>IFERROR(__xludf.DUMMYFUNCTION("""COMPUTED_VALUE"""),500.0)</f>
        <v>500</v>
      </c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>
        <f>IFERROR(__xludf.DUMMYFUNCTION("""COMPUTED_VALUE"""),407.0)</f>
        <v>407</v>
      </c>
      <c r="B408" s="8" t="str">
        <f>IFERROR(__xludf.DUMMYFUNCTION("""COMPUTED_VALUE"""),"California Ruby")</f>
        <v>California Ruby</v>
      </c>
      <c r="C408" s="13">
        <f>IFERROR(__xludf.DUMMYFUNCTION("""COMPUTED_VALUE"""),500.0)</f>
        <v>500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>
        <f>IFERROR(__xludf.DUMMYFUNCTION("""COMPUTED_VALUE"""),408.0)</f>
        <v>408</v>
      </c>
      <c r="B409" s="8" t="str">
        <f>IFERROR(__xludf.DUMMYFUNCTION("""COMPUTED_VALUE"""),"Hot Springs Diamond")</f>
        <v>Hot Springs Diamond</v>
      </c>
      <c r="C409" s="13">
        <f>IFERROR(__xludf.DUMMYFUNCTION("""COMPUTED_VALUE"""),500.0)</f>
        <v>500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>
        <f>IFERROR(__xludf.DUMMYFUNCTION("""COMPUTED_VALUE"""),409.0)</f>
        <v>409</v>
      </c>
      <c r="B410" s="8" t="str">
        <f>IFERROR(__xludf.DUMMYFUNCTION("""COMPUTED_VALUE"""),"Precious Cat's Eye")</f>
        <v>Precious Cat's Eye</v>
      </c>
      <c r="C410" s="13">
        <f>IFERROR(__xludf.DUMMYFUNCTION("""COMPUTED_VALUE"""),500.0)</f>
        <v>500</v>
      </c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>
        <f>IFERROR(__xludf.DUMMYFUNCTION("""COMPUTED_VALUE"""),410.0)</f>
        <v>410</v>
      </c>
      <c r="B411" s="8" t="str">
        <f>IFERROR(__xludf.DUMMYFUNCTION("""COMPUTED_VALUE"""),"Verneuil Ruby")</f>
        <v>Verneuil Ruby</v>
      </c>
      <c r="C411" s="13">
        <f>IFERROR(__xludf.DUMMYFUNCTION("""COMPUTED_VALUE"""),500.0)</f>
        <v>500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>
        <f>IFERROR(__xludf.DUMMYFUNCTION("""COMPUTED_VALUE"""),411.0)</f>
        <v>411</v>
      </c>
      <c r="B412" s="8" t="str">
        <f>IFERROR(__xludf.DUMMYFUNCTION("""COMPUTED_VALUE"""),"Canary Diamond")</f>
        <v>Canary Diamond</v>
      </c>
      <c r="C412" s="13">
        <f>IFERROR(__xludf.DUMMYFUNCTION("""COMPUTED_VALUE"""),500.0)</f>
        <v>500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>
        <f>IFERROR(__xludf.DUMMYFUNCTION("""COMPUTED_VALUE"""),412.0)</f>
        <v>412</v>
      </c>
      <c r="B413" s="8" t="str">
        <f>IFERROR(__xludf.DUMMYFUNCTION("""COMPUTED_VALUE"""),"Hungarian Opal")</f>
        <v>Hungarian Opal</v>
      </c>
      <c r="C413" s="13">
        <f>IFERROR(__xludf.DUMMYFUNCTION("""COMPUTED_VALUE"""),500.0)</f>
        <v>500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>
        <f>IFERROR(__xludf.DUMMYFUNCTION("""COMPUTED_VALUE"""),413.0)</f>
        <v>413</v>
      </c>
      <c r="B414" s="8" t="str">
        <f>IFERROR(__xludf.DUMMYFUNCTION("""COMPUTED_VALUE"""),"Precious Coral")</f>
        <v>Precious Coral</v>
      </c>
      <c r="C414" s="13">
        <f>IFERROR(__xludf.DUMMYFUNCTION("""COMPUTED_VALUE"""),500.0)</f>
        <v>500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>
        <f>IFERROR(__xludf.DUMMYFUNCTION("""COMPUTED_VALUE"""),414.0)</f>
        <v>414</v>
      </c>
      <c r="B415" s="8" t="str">
        <f>IFERROR(__xludf.DUMMYFUNCTION("""COMPUTED_VALUE"""),"Verneuil Sapphire")</f>
        <v>Verneuil Sapphire</v>
      </c>
      <c r="C415" s="13">
        <f>IFERROR(__xludf.DUMMYFUNCTION("""COMPUTED_VALUE"""),500.0)</f>
        <v>500</v>
      </c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>
        <f>IFERROR(__xludf.DUMMYFUNCTION("""COMPUTED_VALUE"""),415.0)</f>
        <v>415</v>
      </c>
      <c r="B416" s="8" t="str">
        <f>IFERROR(__xludf.DUMMYFUNCTION("""COMPUTED_VALUE"""),"Canary Tourmaline")</f>
        <v>Canary Tourmaline</v>
      </c>
      <c r="C416" s="13">
        <f>IFERROR(__xludf.DUMMYFUNCTION("""COMPUTED_VALUE"""),500.0)</f>
        <v>500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>
        <f>IFERROR(__xludf.DUMMYFUNCTION("""COMPUTED_VALUE"""),416.0)</f>
        <v>416</v>
      </c>
      <c r="B417" s="8" t="str">
        <f>IFERROR(__xludf.DUMMYFUNCTION("""COMPUTED_VALUE"""),"Hyacinth")</f>
        <v>Hyacinth</v>
      </c>
      <c r="C417" s="13">
        <f>IFERROR(__xludf.DUMMYFUNCTION("""COMPUTED_VALUE"""),500.0)</f>
        <v>500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>
        <f>IFERROR(__xludf.DUMMYFUNCTION("""COMPUTED_VALUE"""),417.0)</f>
        <v>417</v>
      </c>
      <c r="B418" s="8" t="str">
        <f>IFERROR(__xludf.DUMMYFUNCTION("""COMPUTED_VALUE"""),"Precious Fire Opal")</f>
        <v>Precious Fire Opal</v>
      </c>
      <c r="C418" s="13">
        <f>IFERROR(__xludf.DUMMYFUNCTION("""COMPUTED_VALUE"""),500.0)</f>
        <v>500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>
        <f>IFERROR(__xludf.DUMMYFUNCTION("""COMPUTED_VALUE"""),418.0)</f>
        <v>418</v>
      </c>
      <c r="B419" s="8" t="str">
        <f>IFERROR(__xludf.DUMMYFUNCTION("""COMPUTED_VALUE"""),"Violane")</f>
        <v>Violane</v>
      </c>
      <c r="C419" s="13">
        <f>IFERROR(__xludf.DUMMYFUNCTION("""COMPUTED_VALUE"""),500.0)</f>
        <v>500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>
        <f>IFERROR(__xludf.DUMMYFUNCTION("""COMPUTED_VALUE"""),419.0)</f>
        <v>419</v>
      </c>
      <c r="B420" s="8" t="str">
        <f>IFERROR(__xludf.DUMMYFUNCTION("""COMPUTED_VALUE"""),"Cape Emerald")</f>
        <v>Cape Emerald</v>
      </c>
      <c r="C420" s="13">
        <f>IFERROR(__xludf.DUMMYFUNCTION("""COMPUTED_VALUE"""),500.0)</f>
        <v>500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>
        <f>IFERROR(__xludf.DUMMYFUNCTION("""COMPUTED_VALUE"""),420.0)</f>
        <v>420</v>
      </c>
      <c r="B421" s="8" t="str">
        <f>IFERROR(__xludf.DUMMYFUNCTION("""COMPUTED_VALUE"""),"Hyalite")</f>
        <v>Hyalite</v>
      </c>
      <c r="C421" s="13">
        <f>IFERROR(__xludf.DUMMYFUNCTION("""COMPUTED_VALUE"""),500.0)</f>
        <v>500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>
        <f>IFERROR(__xludf.DUMMYFUNCTION("""COMPUTED_VALUE"""),421.0)</f>
        <v>421</v>
      </c>
      <c r="B422" s="8" t="str">
        <f>IFERROR(__xludf.DUMMYFUNCTION("""COMPUTED_VALUE"""),"Precious Garnet")</f>
        <v>Precious Garnet</v>
      </c>
      <c r="C422" s="13">
        <f>IFERROR(__xludf.DUMMYFUNCTION("""COMPUTED_VALUE"""),500.0)</f>
        <v>500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>
        <f>IFERROR(__xludf.DUMMYFUNCTION("""COMPUTED_VALUE"""),422.0)</f>
        <v>422</v>
      </c>
      <c r="B423" s="8" t="str">
        <f>IFERROR(__xludf.DUMMYFUNCTION("""COMPUTED_VALUE"""),"Virgin Valley Opal")</f>
        <v>Virgin Valley Opal</v>
      </c>
      <c r="C423" s="13">
        <f>IFERROR(__xludf.DUMMYFUNCTION("""COMPUTED_VALUE"""),500.0)</f>
        <v>500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>
        <f>IFERROR(__xludf.DUMMYFUNCTION("""COMPUTED_VALUE"""),423.0)</f>
        <v>423</v>
      </c>
      <c r="B424" s="8" t="str">
        <f>IFERROR(__xludf.DUMMYFUNCTION("""COMPUTED_VALUE"""),"Cape May Diamond")</f>
        <v>Cape May Diamond</v>
      </c>
      <c r="C424" s="13">
        <f>IFERROR(__xludf.DUMMYFUNCTION("""COMPUTED_VALUE"""),500.0)</f>
        <v>500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>
        <f>IFERROR(__xludf.DUMMYFUNCTION("""COMPUTED_VALUE"""),424.0)</f>
        <v>424</v>
      </c>
      <c r="B425" s="8" t="str">
        <f>IFERROR(__xludf.DUMMYFUNCTION("""COMPUTED_VALUE"""),"Hydrogrossular")</f>
        <v>Hydrogrossular</v>
      </c>
      <c r="C425" s="13">
        <f>IFERROR(__xludf.DUMMYFUNCTION("""COMPUTED_VALUE"""),500.0)</f>
        <v>500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>
        <f>IFERROR(__xludf.DUMMYFUNCTION("""COMPUTED_VALUE"""),425.0)</f>
        <v>425</v>
      </c>
      <c r="B426" s="8" t="str">
        <f>IFERROR(__xludf.DUMMYFUNCTION("""COMPUTED_VALUE"""),"Precious Garnet")</f>
        <v>Precious Garnet</v>
      </c>
      <c r="C426" s="13">
        <f>IFERROR(__xludf.DUMMYFUNCTION("""COMPUTED_VALUE"""),500.0)</f>
        <v>500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>
        <f>IFERROR(__xludf.DUMMYFUNCTION("""COMPUTED_VALUE"""),426.0)</f>
        <v>426</v>
      </c>
      <c r="B427" s="8" t="str">
        <f>IFERROR(__xludf.DUMMYFUNCTION("""COMPUTED_VALUE"""),"Viridine")</f>
        <v>Viridine</v>
      </c>
      <c r="C427" s="13">
        <f>IFERROR(__xludf.DUMMYFUNCTION("""COMPUTED_VALUE"""),500.0)</f>
        <v>500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>
        <f>IFERROR(__xludf.DUMMYFUNCTION("""COMPUTED_VALUE"""),427.0)</f>
        <v>427</v>
      </c>
      <c r="B428" s="8" t="str">
        <f>IFERROR(__xludf.DUMMYFUNCTION("""COMPUTED_VALUE"""),"Cape Ruby")</f>
        <v>Cape Ruby</v>
      </c>
      <c r="C428" s="13">
        <f>IFERROR(__xludf.DUMMYFUNCTION("""COMPUTED_VALUE"""),500.0)</f>
        <v>500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>
        <f>IFERROR(__xludf.DUMMYFUNCTION("""COMPUTED_VALUE"""),428.0)</f>
        <v>428</v>
      </c>
      <c r="B429" s="8" t="str">
        <f>IFERROR(__xludf.DUMMYFUNCTION("""COMPUTED_VALUE"""),"Imperial Garnet")</f>
        <v>Imperial Garnet</v>
      </c>
      <c r="C429" s="13">
        <f>IFERROR(__xludf.DUMMYFUNCTION("""COMPUTED_VALUE"""),500.0)</f>
        <v>500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>
        <f>IFERROR(__xludf.DUMMYFUNCTION("""COMPUTED_VALUE"""),429.0)</f>
        <v>429</v>
      </c>
      <c r="B430" s="8" t="str">
        <f>IFERROR(__xludf.DUMMYFUNCTION("""COMPUTED_VALUE"""),"Precious Opal")</f>
        <v>Precious Opal</v>
      </c>
      <c r="C430" s="13">
        <f>IFERROR(__xludf.DUMMYFUNCTION("""COMPUTED_VALUE"""),500.0)</f>
        <v>500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>
        <f>IFERROR(__xludf.DUMMYFUNCTION("""COMPUTED_VALUE"""),430.0)</f>
        <v>430</v>
      </c>
      <c r="B431" s="8" t="str">
        <f>IFERROR(__xludf.DUMMYFUNCTION("""COMPUTED_VALUE"""),"Wascoite")</f>
        <v>Wascoite</v>
      </c>
      <c r="C431" s="13">
        <f>IFERROR(__xludf.DUMMYFUNCTION("""COMPUTED_VALUE"""),500.0)</f>
        <v>500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>
        <f>IFERROR(__xludf.DUMMYFUNCTION("""COMPUTED_VALUE"""),431.0)</f>
        <v>431</v>
      </c>
      <c r="B432" s="8" t="str">
        <f>IFERROR(__xludf.DUMMYFUNCTION("""COMPUTED_VALUE"""),"Carbuncle")</f>
        <v>Carbuncle</v>
      </c>
      <c r="C432" s="13">
        <f>IFERROR(__xludf.DUMMYFUNCTION("""COMPUTED_VALUE"""),500.0)</f>
        <v>500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>
        <f>IFERROR(__xludf.DUMMYFUNCTION("""COMPUTED_VALUE"""),432.0)</f>
        <v>432</v>
      </c>
      <c r="B433" s="8" t="str">
        <f>IFERROR(__xludf.DUMMYFUNCTION("""COMPUTED_VALUE"""),"Imperial Jade")</f>
        <v>Imperial Jade</v>
      </c>
      <c r="C433" s="13">
        <f>IFERROR(__xludf.DUMMYFUNCTION("""COMPUTED_VALUE"""),500.0)</f>
        <v>500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>
        <f>IFERROR(__xludf.DUMMYFUNCTION("""COMPUTED_VALUE"""),433.0)</f>
        <v>433</v>
      </c>
      <c r="B434" s="8" t="str">
        <f>IFERROR(__xludf.DUMMYFUNCTION("""COMPUTED_VALUE"""),"Precious Topaz")</f>
        <v>Precious Topaz</v>
      </c>
      <c r="C434" s="13">
        <f>IFERROR(__xludf.DUMMYFUNCTION("""COMPUTED_VALUE"""),500.0)</f>
        <v>500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>
        <f>IFERROR(__xludf.DUMMYFUNCTION("""COMPUTED_VALUE"""),434.0)</f>
        <v>434</v>
      </c>
      <c r="B435" s="8" t="str">
        <f>IFERROR(__xludf.DUMMYFUNCTION("""COMPUTED_VALUE"""),"Water Sapphire")</f>
        <v>Water Sapphire</v>
      </c>
      <c r="C435" s="13">
        <f>IFERROR(__xludf.DUMMYFUNCTION("""COMPUTED_VALUE"""),500.0)</f>
        <v>500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>
        <f>IFERROR(__xludf.DUMMYFUNCTION("""COMPUTED_VALUE"""),435.0)</f>
        <v>435</v>
      </c>
      <c r="B436" s="8" t="str">
        <f>IFERROR(__xludf.DUMMYFUNCTION("""COMPUTED_VALUE"""),"Carnelian")</f>
        <v>Carnelian</v>
      </c>
      <c r="C436" s="13">
        <f>IFERROR(__xludf.DUMMYFUNCTION("""COMPUTED_VALUE"""),500.0)</f>
        <v>500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>
        <f>IFERROR(__xludf.DUMMYFUNCTION("""COMPUTED_VALUE"""),436.0)</f>
        <v>436</v>
      </c>
      <c r="B437" s="8" t="str">
        <f>IFERROR(__xludf.DUMMYFUNCTION("""COMPUTED_VALUE"""),"Imperial Topaz")</f>
        <v>Imperial Topaz</v>
      </c>
      <c r="C437" s="13">
        <f>IFERROR(__xludf.DUMMYFUNCTION("""COMPUTED_VALUE"""),500.0)</f>
        <v>500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>
        <f>IFERROR(__xludf.DUMMYFUNCTION("""COMPUTED_VALUE"""),437.0)</f>
        <v>437</v>
      </c>
      <c r="B438" s="8" t="str">
        <f>IFERROR(__xludf.DUMMYFUNCTION("""COMPUTED_VALUE"""),"Pressed Amber")</f>
        <v>Pressed Amber</v>
      </c>
      <c r="C438" s="13">
        <f>IFERROR(__xludf.DUMMYFUNCTION("""COMPUTED_VALUE"""),500.0)</f>
        <v>500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>
        <f>IFERROR(__xludf.DUMMYFUNCTION("""COMPUTED_VALUE"""),438.0)</f>
        <v>438</v>
      </c>
      <c r="B439" s="8" t="str">
        <f>IFERROR(__xludf.DUMMYFUNCTION("""COMPUTED_VALUE"""),"Watermelon Tourmaline")</f>
        <v>Watermelon Tourmaline</v>
      </c>
      <c r="C439" s="13">
        <f>IFERROR(__xludf.DUMMYFUNCTION("""COMPUTED_VALUE"""),500.0)</f>
        <v>500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>
        <f>IFERROR(__xludf.DUMMYFUNCTION("""COMPUTED_VALUE"""),439.0)</f>
        <v>439</v>
      </c>
      <c r="B440" s="8" t="str">
        <f>IFERROR(__xludf.DUMMYFUNCTION("""COMPUTED_VALUE"""),"Carnelian Agate")</f>
        <v>Carnelian Agate</v>
      </c>
      <c r="C440" s="13">
        <f>IFERROR(__xludf.DUMMYFUNCTION("""COMPUTED_VALUE"""),500.0)</f>
        <v>500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>
        <f>IFERROR(__xludf.DUMMYFUNCTION("""COMPUTED_VALUE"""),440.0)</f>
        <v>440</v>
      </c>
      <c r="B441" s="8" t="str">
        <f>IFERROR(__xludf.DUMMYFUNCTION("""COMPUTED_VALUE"""),"Inca Rose")</f>
        <v>Inca Rose</v>
      </c>
      <c r="C441" s="13">
        <f>IFERROR(__xludf.DUMMYFUNCTION("""COMPUTED_VALUE"""),500.0)</f>
        <v>500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>
        <f>IFERROR(__xludf.DUMMYFUNCTION("""COMPUTED_VALUE"""),441.0)</f>
        <v>441</v>
      </c>
      <c r="B442" s="8" t="str">
        <f>IFERROR(__xludf.DUMMYFUNCTION("""COMPUTED_VALUE"""),"Quartz")</f>
        <v>Quartz</v>
      </c>
      <c r="C442" s="13">
        <f>IFERROR(__xludf.DUMMYFUNCTION("""COMPUTED_VALUE"""),500.0)</f>
        <v>500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>
        <f>IFERROR(__xludf.DUMMYFUNCTION("""COMPUTED_VALUE"""),442.0)</f>
        <v>442</v>
      </c>
      <c r="B443" s="8" t="str">
        <f>IFERROR(__xludf.DUMMYFUNCTION("""COMPUTED_VALUE"""),"Wax Opal")</f>
        <v>Wax Opal</v>
      </c>
      <c r="C443" s="13">
        <f>IFERROR(__xludf.DUMMYFUNCTION("""COMPUTED_VALUE"""),500.0)</f>
        <v>500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>
        <f>IFERROR(__xludf.DUMMYFUNCTION("""COMPUTED_VALUE"""),443.0)</f>
        <v>443</v>
      </c>
      <c r="B444" s="8" t="str">
        <f>IFERROR(__xludf.DUMMYFUNCTION("""COMPUTED_VALUE"""),"Carnelian Onyx")</f>
        <v>Carnelian Onyx</v>
      </c>
      <c r="C444" s="13">
        <f>IFERROR(__xludf.DUMMYFUNCTION("""COMPUTED_VALUE"""),500.0)</f>
        <v>500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>
        <f>IFERROR(__xludf.DUMMYFUNCTION("""COMPUTED_VALUE"""),444.0)</f>
        <v>444</v>
      </c>
      <c r="B445" s="8" t="str">
        <f>IFERROR(__xludf.DUMMYFUNCTION("""COMPUTED_VALUE"""),"Indian Emerald")</f>
        <v>Indian Emerald</v>
      </c>
      <c r="C445" s="13">
        <f>IFERROR(__xludf.DUMMYFUNCTION("""COMPUTED_VALUE"""),500.0)</f>
        <v>500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>
        <f>IFERROR(__xludf.DUMMYFUNCTION("""COMPUTED_VALUE"""),445.0)</f>
        <v>445</v>
      </c>
      <c r="B446" s="8" t="str">
        <f>IFERROR(__xludf.DUMMYFUNCTION("""COMPUTED_VALUE"""),"Rainbow Moonstone")</f>
        <v>Rainbow Moonstone</v>
      </c>
      <c r="C446" s="13">
        <f>IFERROR(__xludf.DUMMYFUNCTION("""COMPUTED_VALUE"""),500.0)</f>
        <v>500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>
        <f>IFERROR(__xludf.DUMMYFUNCTION("""COMPUTED_VALUE"""),446.0)</f>
        <v>446</v>
      </c>
      <c r="B447" s="8" t="str">
        <f>IFERROR(__xludf.DUMMYFUNCTION("""COMPUTED_VALUE"""),"White Cliffs Opal")</f>
        <v>White Cliffs Opal</v>
      </c>
      <c r="C447" s="13">
        <f>IFERROR(__xludf.DUMMYFUNCTION("""COMPUTED_VALUE"""),500.0)</f>
        <v>500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>
        <f>IFERROR(__xludf.DUMMYFUNCTION("""COMPUTED_VALUE"""),447.0)</f>
        <v>447</v>
      </c>
      <c r="B448" s="8" t="str">
        <f>IFERROR(__xludf.DUMMYFUNCTION("""COMPUTED_VALUE"""),"Cat's Eye")</f>
        <v>Cat's Eye</v>
      </c>
      <c r="C448" s="13">
        <f>IFERROR(__xludf.DUMMYFUNCTION("""COMPUTED_VALUE"""),500.0)</f>
        <v>500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>
        <f>IFERROR(__xludf.DUMMYFUNCTION("""COMPUTED_VALUE"""),448.0)</f>
        <v>448</v>
      </c>
      <c r="B449" s="8" t="str">
        <f>IFERROR(__xludf.DUMMYFUNCTION("""COMPUTED_VALUE"""),"Indian Jade")</f>
        <v>Indian Jade</v>
      </c>
      <c r="C449" s="13">
        <f>IFERROR(__xludf.DUMMYFUNCTION("""COMPUTED_VALUE"""),500.0)</f>
        <v>500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>
        <f>IFERROR(__xludf.DUMMYFUNCTION("""COMPUTED_VALUE"""),449.0)</f>
        <v>449</v>
      </c>
      <c r="B450" s="8" t="str">
        <f>IFERROR(__xludf.DUMMYFUNCTION("""COMPUTED_VALUE"""),"Raspberry Beryl")</f>
        <v>Raspberry Beryl</v>
      </c>
      <c r="C450" s="13">
        <f>IFERROR(__xludf.DUMMYFUNCTION("""COMPUTED_VALUE"""),500.0)</f>
        <v>500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>
        <f>IFERROR(__xludf.DUMMYFUNCTION("""COMPUTED_VALUE"""),450.0)</f>
        <v>450</v>
      </c>
      <c r="B451" s="8" t="str">
        <f>IFERROR(__xludf.DUMMYFUNCTION("""COMPUTED_VALUE"""),"White Gold")</f>
        <v>White Gold</v>
      </c>
      <c r="C451" s="13">
        <f>IFERROR(__xludf.DUMMYFUNCTION("""COMPUTED_VALUE"""),500.0)</f>
        <v>500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>
        <f>IFERROR(__xludf.DUMMYFUNCTION("""COMPUTED_VALUE"""),451.0)</f>
        <v>451</v>
      </c>
      <c r="B452" s="8" t="str">
        <f>IFERROR(__xludf.DUMMYFUNCTION("""COMPUTED_VALUE"""),"Cat's Eye Aquamarine")</f>
        <v>Cat's Eye Aquamarine</v>
      </c>
      <c r="C452" s="13">
        <f>IFERROR(__xludf.DUMMYFUNCTION("""COMPUTED_VALUE"""),500.0)</f>
        <v>500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>
        <f>IFERROR(__xludf.DUMMYFUNCTION("""COMPUTED_VALUE"""),452.0)</f>
        <v>452</v>
      </c>
      <c r="B453" s="8" t="str">
        <f>IFERROR(__xludf.DUMMYFUNCTION("""COMPUTED_VALUE"""),"Indian Topaz")</f>
        <v>Indian Topaz</v>
      </c>
      <c r="C453" s="13">
        <f>IFERROR(__xludf.DUMMYFUNCTION("""COMPUTED_VALUE"""),500.0)</f>
        <v>500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>
        <f>IFERROR(__xludf.DUMMYFUNCTION("""COMPUTED_VALUE"""),453.0)</f>
        <v>453</v>
      </c>
      <c r="B454" s="8" t="str">
        <f>IFERROR(__xludf.DUMMYFUNCTION("""COMPUTED_VALUE"""),"Raspberry Garnet")</f>
        <v>Raspberry Garnet</v>
      </c>
      <c r="C454" s="13">
        <f>IFERROR(__xludf.DUMMYFUNCTION("""COMPUTED_VALUE"""),500.0)</f>
        <v>500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>
        <f>IFERROR(__xludf.DUMMYFUNCTION("""COMPUTED_VALUE"""),454.0)</f>
        <v>454</v>
      </c>
      <c r="B455" s="8" t="str">
        <f>IFERROR(__xludf.DUMMYFUNCTION("""COMPUTED_VALUE"""),"White Opal")</f>
        <v>White Opal</v>
      </c>
      <c r="C455" s="13">
        <f>IFERROR(__xludf.DUMMYFUNCTION("""COMPUTED_VALUE"""),500.0)</f>
        <v>500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>
        <f>IFERROR(__xludf.DUMMYFUNCTION("""COMPUTED_VALUE"""),455.0)</f>
        <v>455</v>
      </c>
      <c r="B456" s="8" t="str">
        <f>IFERROR(__xludf.DUMMYFUNCTION("""COMPUTED_VALUE"""),"Cat's Eye Emerald")</f>
        <v>Cat's Eye Emerald</v>
      </c>
      <c r="C456" s="13">
        <f>IFERROR(__xludf.DUMMYFUNCTION("""COMPUTED_VALUE"""),500.0)</f>
        <v>500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>
        <f>IFERROR(__xludf.DUMMYFUNCTION("""COMPUTED_VALUE"""),456.0)</f>
        <v>456</v>
      </c>
      <c r="B457" s="8" t="str">
        <f>IFERROR(__xludf.DUMMYFUNCTION("""COMPUTED_VALUE"""),"Indicolite")</f>
        <v>Indicolite</v>
      </c>
      <c r="C457" s="13">
        <f>IFERROR(__xludf.DUMMYFUNCTION("""COMPUTED_VALUE"""),500.0)</f>
        <v>500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>
        <f>IFERROR(__xludf.DUMMYFUNCTION("""COMPUTED_VALUE"""),457.0)</f>
        <v>457</v>
      </c>
      <c r="B458" s="8" t="str">
        <f>IFERROR(__xludf.DUMMYFUNCTION("""COMPUTED_VALUE"""),"Red Beryl")</f>
        <v>Red Beryl</v>
      </c>
      <c r="C458" s="13">
        <f>IFERROR(__xludf.DUMMYFUNCTION("""COMPUTED_VALUE"""),500.0)</f>
        <v>500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>
        <f>IFERROR(__xludf.DUMMYFUNCTION("""COMPUTED_VALUE"""),458.0)</f>
        <v>458</v>
      </c>
      <c r="B459" s="8" t="str">
        <f>IFERROR(__xludf.DUMMYFUNCTION("""COMPUTED_VALUE"""),"White Topaz")</f>
        <v>White Topaz</v>
      </c>
      <c r="C459" s="13">
        <f>IFERROR(__xludf.DUMMYFUNCTION("""COMPUTED_VALUE"""),500.0)</f>
        <v>500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>
        <f>IFERROR(__xludf.DUMMYFUNCTION("""COMPUTED_VALUE"""),459.0)</f>
        <v>459</v>
      </c>
      <c r="B460" s="8" t="str">
        <f>IFERROR(__xludf.DUMMYFUNCTION("""COMPUTED_VALUE"""),"Cat's Eye Moonstone")</f>
        <v>Cat's Eye Moonstone</v>
      </c>
      <c r="C460" s="13">
        <f>IFERROR(__xludf.DUMMYFUNCTION("""COMPUTED_VALUE"""),500.0)</f>
        <v>500</v>
      </c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>
        <f>IFERROR(__xludf.DUMMYFUNCTION("""COMPUTED_VALUE"""),460.0)</f>
        <v>460</v>
      </c>
      <c r="B461" s="8" t="str">
        <f>IFERROR(__xludf.DUMMYFUNCTION("""COMPUTED_VALUE"""),"Indigolite")</f>
        <v>Indigolite</v>
      </c>
      <c r="C461" s="13">
        <f>IFERROR(__xludf.DUMMYFUNCTION("""COMPUTED_VALUE"""),500.0)</f>
        <v>500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>
        <f>IFERROR(__xludf.DUMMYFUNCTION("""COMPUTED_VALUE"""),461.0)</f>
        <v>461</v>
      </c>
      <c r="B462" s="8" t="str">
        <f>IFERROR(__xludf.DUMMYFUNCTION("""COMPUTED_VALUE"""),"Red Coral")</f>
        <v>Red Coral</v>
      </c>
      <c r="C462" s="13">
        <f>IFERROR(__xludf.DUMMYFUNCTION("""COMPUTED_VALUE"""),500.0)</f>
        <v>500</v>
      </c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>
        <f>IFERROR(__xludf.DUMMYFUNCTION("""COMPUTED_VALUE"""),462.0)</f>
        <v>462</v>
      </c>
      <c r="B463" s="8" t="str">
        <f>IFERROR(__xludf.DUMMYFUNCTION("""COMPUTED_VALUE"""),"Wiluite")</f>
        <v>Wiluite</v>
      </c>
      <c r="C463" s="13">
        <f>IFERROR(__xludf.DUMMYFUNCTION("""COMPUTED_VALUE"""),500.0)</f>
        <v>500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>
        <f>IFERROR(__xludf.DUMMYFUNCTION("""COMPUTED_VALUE"""),463.0)</f>
        <v>463</v>
      </c>
      <c r="B464" s="8" t="str">
        <f>IFERROR(__xludf.DUMMYFUNCTION("""COMPUTED_VALUE"""),"Cat's Eye Quartz")</f>
        <v>Cat's Eye Quartz</v>
      </c>
      <c r="C464" s="13">
        <f>IFERROR(__xludf.DUMMYFUNCTION("""COMPUTED_VALUE"""),500.0)</f>
        <v>500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>
        <f>IFERROR(__xludf.DUMMYFUNCTION("""COMPUTED_VALUE"""),464.0)</f>
        <v>464</v>
      </c>
      <c r="B465" s="8" t="str">
        <f>IFERROR(__xludf.DUMMYFUNCTION("""COMPUTED_VALUE"""),"Iris Agate")</f>
        <v>Iris Agate</v>
      </c>
      <c r="C465" s="13">
        <f>IFERROR(__xludf.DUMMYFUNCTION("""COMPUTED_VALUE"""),500.0)</f>
        <v>500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>
        <f>IFERROR(__xludf.DUMMYFUNCTION("""COMPUTED_VALUE"""),465.0)</f>
        <v>465</v>
      </c>
      <c r="B466" s="8" t="str">
        <f>IFERROR(__xludf.DUMMYFUNCTION("""COMPUTED_VALUE"""),"Red Fire Quartz")</f>
        <v>Red Fire Quartz</v>
      </c>
      <c r="C466" s="13">
        <f>IFERROR(__xludf.DUMMYFUNCTION("""COMPUTED_VALUE"""),500.0)</f>
        <v>500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>
        <f>IFERROR(__xludf.DUMMYFUNCTION("""COMPUTED_VALUE"""),466.0)</f>
        <v>466</v>
      </c>
      <c r="B467" s="8" t="str">
        <f>IFERROR(__xludf.DUMMYFUNCTION("""COMPUTED_VALUE"""),"Yellow Gold")</f>
        <v>Yellow Gold</v>
      </c>
      <c r="C467" s="13">
        <f>IFERROR(__xludf.DUMMYFUNCTION("""COMPUTED_VALUE"""),500.0)</f>
        <v>500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>
        <f>IFERROR(__xludf.DUMMYFUNCTION("""COMPUTED_VALUE"""),467.0)</f>
        <v>467</v>
      </c>
      <c r="B468" s="8" t="str">
        <f>IFERROR(__xludf.DUMMYFUNCTION("""COMPUTED_VALUE"""),"Cat's Eye Tourmaline")</f>
        <v>Cat's Eye Tourmaline</v>
      </c>
      <c r="C468" s="13">
        <f>IFERROR(__xludf.DUMMYFUNCTION("""COMPUTED_VALUE"""),500.0)</f>
        <v>500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>
        <f>IFERROR(__xludf.DUMMYFUNCTION("""COMPUTED_VALUE"""),468.0)</f>
        <v>468</v>
      </c>
      <c r="B469" s="8" t="str">
        <f>IFERROR(__xludf.DUMMYFUNCTION("""COMPUTED_VALUE"""),"Jacinth")</f>
        <v>Jacinth</v>
      </c>
      <c r="C469" s="13">
        <f>IFERROR(__xludf.DUMMYFUNCTION("""COMPUTED_VALUE"""),500.0)</f>
        <v>500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>
        <f>IFERROR(__xludf.DUMMYFUNCTION("""COMPUTED_VALUE"""),469.0)</f>
        <v>469</v>
      </c>
      <c r="B470" s="8" t="str">
        <f>IFERROR(__xludf.DUMMYFUNCTION("""COMPUTED_VALUE"""),"Red Labradorite")</f>
        <v>Red Labradorite</v>
      </c>
      <c r="C470" s="13">
        <f>IFERROR(__xludf.DUMMYFUNCTION("""COMPUTED_VALUE"""),500.0)</f>
        <v>500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>
        <f>IFERROR(__xludf.DUMMYFUNCTION("""COMPUTED_VALUE"""),470.0)</f>
        <v>470</v>
      </c>
      <c r="B471" s="8" t="str">
        <f>IFERROR(__xludf.DUMMYFUNCTION("""COMPUTED_VALUE"""),"Yellow Kunzite")</f>
        <v>Yellow Kunzite</v>
      </c>
      <c r="C471" s="13">
        <f>IFERROR(__xludf.DUMMYFUNCTION("""COMPUTED_VALUE"""),500.0)</f>
        <v>500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>
        <f>IFERROR(__xludf.DUMMYFUNCTION("""COMPUTED_VALUE"""),471.0)</f>
        <v>471</v>
      </c>
      <c r="B472" s="8" t="str">
        <f>IFERROR(__xludf.DUMMYFUNCTION("""COMPUTED_VALUE"""),"Catseye")</f>
        <v>Catseye</v>
      </c>
      <c r="C472" s="13">
        <f>IFERROR(__xludf.DUMMYFUNCTION("""COMPUTED_VALUE"""),500.0)</f>
        <v>500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>
        <f>IFERROR(__xludf.DUMMYFUNCTION("""COMPUTED_VALUE"""),472.0)</f>
        <v>472</v>
      </c>
      <c r="B473" s="8" t="str">
        <f>IFERROR(__xludf.DUMMYFUNCTION("""COMPUTED_VALUE"""),"Jargon")</f>
        <v>Jargon</v>
      </c>
      <c r="C473" s="13">
        <f>IFERROR(__xludf.DUMMYFUNCTION("""COMPUTED_VALUE"""),500.0)</f>
        <v>500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>
        <f>IFERROR(__xludf.DUMMYFUNCTION("""COMPUTED_VALUE"""),473.0)</f>
        <v>473</v>
      </c>
      <c r="B474" s="8" t="str">
        <f>IFERROR(__xludf.DUMMYFUNCTION("""COMPUTED_VALUE"""),"Regency Emerald")</f>
        <v>Regency Emerald</v>
      </c>
      <c r="C474" s="13">
        <f>IFERROR(__xludf.DUMMYFUNCTION("""COMPUTED_VALUE"""),500.0)</f>
        <v>500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>
        <f>IFERROR(__xludf.DUMMYFUNCTION("""COMPUTED_VALUE"""),474.0)</f>
        <v>474</v>
      </c>
      <c r="B475" s="8" t="str">
        <f>IFERROR(__xludf.DUMMYFUNCTION("""COMPUTED_VALUE"""),"Yellow Tanzanite")</f>
        <v>Yellow Tanzanite</v>
      </c>
      <c r="C475" s="13">
        <f>IFERROR(__xludf.DUMMYFUNCTION("""COMPUTED_VALUE"""),500.0)</f>
        <v>500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>
        <f>IFERROR(__xludf.DUMMYFUNCTION("""COMPUTED_VALUE"""),475.0)</f>
        <v>475</v>
      </c>
      <c r="B476" s="8" t="str">
        <f>IFERROR(__xludf.DUMMYFUNCTION("""COMPUTED_VALUE"""),"Cave Creek Jasper")</f>
        <v>Cave Creek Jasper</v>
      </c>
      <c r="C476" s="13">
        <f>IFERROR(__xludf.DUMMYFUNCTION("""COMPUTED_VALUE"""),500.0)</f>
        <v>500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>
        <f>IFERROR(__xludf.DUMMYFUNCTION("""COMPUTED_VALUE"""),476.0)</f>
        <v>476</v>
      </c>
      <c r="B477" s="8" t="str">
        <f>IFERROR(__xludf.DUMMYFUNCTION("""COMPUTED_VALUE"""),"Jargoon")</f>
        <v>Jargoon</v>
      </c>
      <c r="C477" s="13">
        <f>IFERROR(__xludf.DUMMYFUNCTION("""COMPUTED_VALUE"""),500.0)</f>
        <v>500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>
        <f>IFERROR(__xludf.DUMMYFUNCTION("""COMPUTED_VALUE"""),477.0)</f>
        <v>477</v>
      </c>
      <c r="B478" s="8" t="str">
        <f>IFERROR(__xludf.DUMMYFUNCTION("""COMPUTED_VALUE"""),"Rhodolite")</f>
        <v>Rhodolite</v>
      </c>
      <c r="C478" s="13">
        <f>IFERROR(__xludf.DUMMYFUNCTION("""COMPUTED_VALUE"""),500.0)</f>
        <v>500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>
        <f>IFERROR(__xludf.DUMMYFUNCTION("""COMPUTED_VALUE"""),478.0)</f>
        <v>478</v>
      </c>
      <c r="B479" s="8" t="str">
        <f>IFERROR(__xludf.DUMMYFUNCTION("""COMPUTED_VALUE"""),"Yowah Nut")</f>
        <v>Yowah Nut</v>
      </c>
      <c r="C479" s="13">
        <f>IFERROR(__xludf.DUMMYFUNCTION("""COMPUTED_VALUE"""),500.0)</f>
        <v>500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>
        <f>IFERROR(__xludf.DUMMYFUNCTION("""COMPUTED_VALUE"""),479.0)</f>
        <v>479</v>
      </c>
      <c r="B480" s="8" t="str">
        <f>IFERROR(__xludf.DUMMYFUNCTION("""COMPUTED_VALUE"""),"Cesium Beryl")</f>
        <v>Cesium Beryl</v>
      </c>
      <c r="C480" s="13">
        <f>IFERROR(__xludf.DUMMYFUNCTION("""COMPUTED_VALUE"""),500.0)</f>
        <v>500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>
        <f>IFERROR(__xludf.DUMMYFUNCTION("""COMPUTED_VALUE"""),480.0)</f>
        <v>480</v>
      </c>
      <c r="B481" s="8" t="str">
        <f>IFERROR(__xludf.DUMMYFUNCTION("""COMPUTED_VALUE"""),"Jasper")</f>
        <v>Jasper</v>
      </c>
      <c r="C481" s="13">
        <f>IFERROR(__xludf.DUMMYFUNCTION("""COMPUTED_VALUE"""),500.0)</f>
        <v>500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>
        <f>IFERROR(__xludf.DUMMYFUNCTION("""COMPUTED_VALUE"""),481.0)</f>
        <v>481</v>
      </c>
      <c r="B482" s="8" t="str">
        <f>IFERROR(__xludf.DUMMYFUNCTION("""COMPUTED_VALUE"""),"Riband Jasper")</f>
        <v>Riband Jasper</v>
      </c>
      <c r="C482" s="13">
        <f>IFERROR(__xludf.DUMMYFUNCTION("""COMPUTED_VALUE"""),500.0)</f>
        <v>500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>
        <f>IFERROR(__xludf.DUMMYFUNCTION("""COMPUTED_VALUE"""),482.0)</f>
        <v>482</v>
      </c>
      <c r="B483" s="8" t="str">
        <f>IFERROR(__xludf.DUMMYFUNCTION("""COMPUTED_VALUE"""),"Zabeltitzen Diamond")</f>
        <v>Zabeltitzen Diamond</v>
      </c>
      <c r="C483" s="13">
        <f>IFERROR(__xludf.DUMMYFUNCTION("""COMPUTED_VALUE"""),500.0)</f>
        <v>500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>
        <f>IFERROR(__xludf.DUMMYFUNCTION("""COMPUTED_VALUE"""),483.0)</f>
        <v>483</v>
      </c>
      <c r="B484" s="8" t="str">
        <f>IFERROR(__xludf.DUMMYFUNCTION("""COMPUTED_VALUE"""),"Ceylon Sapphire")</f>
        <v>Ceylon Sapphire</v>
      </c>
      <c r="C484" s="13">
        <f>IFERROR(__xludf.DUMMYFUNCTION("""COMPUTED_VALUE"""),500.0)</f>
        <v>500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>
        <f>IFERROR(__xludf.DUMMYFUNCTION("""COMPUTED_VALUE"""),484.0)</f>
        <v>484</v>
      </c>
      <c r="B485" s="8" t="str">
        <f>IFERROR(__xludf.DUMMYFUNCTION("""COMPUTED_VALUE"""),"Jasper Jade")</f>
        <v>Jasper Jade</v>
      </c>
      <c r="C485" s="13">
        <f>IFERROR(__xludf.DUMMYFUNCTION("""COMPUTED_VALUE"""),500.0)</f>
        <v>500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>
        <f>IFERROR(__xludf.DUMMYFUNCTION("""COMPUTED_VALUE"""),485.0)</f>
        <v>485</v>
      </c>
      <c r="B486" s="8" t="str">
        <f>IFERROR(__xludf.DUMMYFUNCTION("""COMPUTED_VALUE"""),"Ribbon Jasper")</f>
        <v>Ribbon Jasper</v>
      </c>
      <c r="C486" s="13">
        <f>IFERROR(__xludf.DUMMYFUNCTION("""COMPUTED_VALUE"""),500.0)</f>
        <v>500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>
        <f>IFERROR(__xludf.DUMMYFUNCTION("""COMPUTED_VALUE"""),486.0)</f>
        <v>486</v>
      </c>
      <c r="B487" s="8" t="str">
        <f>IFERROR(__xludf.DUMMYFUNCTION("""COMPUTED_VALUE"""),"Zambian Emerald")</f>
        <v>Zambian Emerald</v>
      </c>
      <c r="C487" s="13">
        <f>IFERROR(__xludf.DUMMYFUNCTION("""COMPUTED_VALUE"""),500.0)</f>
        <v>500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>
        <f>IFERROR(__xludf.DUMMYFUNCTION("""COMPUTED_VALUE"""),487.0)</f>
        <v>487</v>
      </c>
      <c r="B488" s="8" t="str">
        <f>IFERROR(__xludf.DUMMYFUNCTION("""COMPUTED_VALUE"""),"Chalcedony")</f>
        <v>Chalcedony</v>
      </c>
      <c r="C488" s="13">
        <f>IFERROR(__xludf.DUMMYFUNCTION("""COMPUTED_VALUE"""),500.0)</f>
        <v>500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>
        <f>IFERROR(__xludf.DUMMYFUNCTION("""COMPUTED_VALUE"""),488.0)</f>
        <v>488</v>
      </c>
      <c r="B489" s="8" t="str">
        <f>IFERROR(__xludf.DUMMYFUNCTION("""COMPUTED_VALUE"""),"Jaspilite")</f>
        <v>Jaspilite</v>
      </c>
      <c r="C489" s="13">
        <f>IFERROR(__xludf.DUMMYFUNCTION("""COMPUTED_VALUE"""),500.0)</f>
        <v>500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>
        <f>IFERROR(__xludf.DUMMYFUNCTION("""COMPUTED_VALUE"""),489.0)</f>
        <v>489</v>
      </c>
      <c r="B490" s="8" t="str">
        <f>IFERROR(__xludf.DUMMYFUNCTION("""COMPUTED_VALUE"""),"Rock Crystal")</f>
        <v>Rock Crystal</v>
      </c>
      <c r="C490" s="13">
        <f>IFERROR(__xludf.DUMMYFUNCTION("""COMPUTED_VALUE"""),500.0)</f>
        <v>500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>
        <f>IFERROR(__xludf.DUMMYFUNCTION("""COMPUTED_VALUE"""),490.0)</f>
        <v>490</v>
      </c>
      <c r="B491" s="8" t="str">
        <f>IFERROR(__xludf.DUMMYFUNCTION("""COMPUTED_VALUE"""),"Zebra Jasper")</f>
        <v>Zebra Jasper</v>
      </c>
      <c r="C491" s="13">
        <f>IFERROR(__xludf.DUMMYFUNCTION("""COMPUTED_VALUE"""),500.0)</f>
        <v>500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>
        <f>IFERROR(__xludf.DUMMYFUNCTION("""COMPUTED_VALUE"""),491.0)</f>
        <v>491</v>
      </c>
      <c r="B492" s="8" t="str">
        <f>IFERROR(__xludf.DUMMYFUNCTION("""COMPUTED_VALUE"""),"Chathan Emerald")</f>
        <v>Chathan Emerald</v>
      </c>
      <c r="C492" s="13">
        <f>IFERROR(__xludf.DUMMYFUNCTION("""COMPUTED_VALUE"""),500.0)</f>
        <v>500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>
        <f>IFERROR(__xludf.DUMMYFUNCTION("""COMPUTED_VALUE"""),492.0)</f>
        <v>492</v>
      </c>
      <c r="B493" s="8" t="str">
        <f>IFERROR(__xludf.DUMMYFUNCTION("""COMPUTED_VALUE"""),"Jelly Opal")</f>
        <v>Jelly Opal</v>
      </c>
      <c r="C493" s="13">
        <f>IFERROR(__xludf.DUMMYFUNCTION("""COMPUTED_VALUE"""),500.0)</f>
        <v>500</v>
      </c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>
        <f>IFERROR(__xludf.DUMMYFUNCTION("""COMPUTED_VALUE"""),493.0)</f>
        <v>493</v>
      </c>
      <c r="B494" s="8" t="str">
        <f>IFERROR(__xludf.DUMMYFUNCTION("""COMPUTED_VALUE"""),"Rocky Mountain Ruby")</f>
        <v>Rocky Mountain Ruby</v>
      </c>
      <c r="C494" s="13">
        <f>IFERROR(__xludf.DUMMYFUNCTION("""COMPUTED_VALUE"""),500.0)</f>
        <v>500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>
        <f>IFERROR(__xludf.DUMMYFUNCTION("""COMPUTED_VALUE"""),494.0)</f>
        <v>494</v>
      </c>
      <c r="B495" s="8" t="str">
        <f>IFERROR(__xludf.DUMMYFUNCTION("""COMPUTED_VALUE"""),"Zerfass Emerald")</f>
        <v>Zerfass Emerald</v>
      </c>
      <c r="C495" s="13">
        <f>IFERROR(__xludf.DUMMYFUNCTION("""COMPUTED_VALUE"""),500.0)</f>
        <v>500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>
        <f>IFERROR(__xludf.DUMMYFUNCTION("""COMPUTED_VALUE"""),495.0)</f>
        <v>495</v>
      </c>
      <c r="B496" s="8" t="str">
        <f>IFERROR(__xludf.DUMMYFUNCTION("""COMPUTED_VALUE"""),"Cherry Opal")</f>
        <v>Cherry Opal</v>
      </c>
      <c r="C496" s="13">
        <f>IFERROR(__xludf.DUMMYFUNCTION("""COMPUTED_VALUE"""),500.0)</f>
        <v>500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>
        <f>IFERROR(__xludf.DUMMYFUNCTION("""COMPUTED_VALUE"""),496.0)</f>
        <v>496</v>
      </c>
      <c r="B497" s="8" t="str">
        <f>IFERROR(__xludf.DUMMYFUNCTION("""COMPUTED_VALUE"""),"Jourado Diamond")</f>
        <v>Jourado Diamond</v>
      </c>
      <c r="C497" s="13">
        <f>IFERROR(__xludf.DUMMYFUNCTION("""COMPUTED_VALUE"""),500.0)</f>
        <v>500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>
        <f>IFERROR(__xludf.DUMMYFUNCTION("""COMPUTED_VALUE"""),497.0)</f>
        <v>497</v>
      </c>
      <c r="B498" s="8" t="str">
        <f>IFERROR(__xludf.DUMMYFUNCTION("""COMPUTED_VALUE"""),"Rogueite")</f>
        <v>Rogueite</v>
      </c>
      <c r="C498" s="13">
        <f>IFERROR(__xludf.DUMMYFUNCTION("""COMPUTED_VALUE"""),500.0)</f>
        <v>500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>
        <f>IFERROR(__xludf.DUMMYFUNCTION("""COMPUTED_VALUE"""),498.0)</f>
        <v>498</v>
      </c>
      <c r="B499" s="8" t="str">
        <f>IFERROR(__xludf.DUMMYFUNCTION("""COMPUTED_VALUE"""),"Zultanite")</f>
        <v>Zultanite</v>
      </c>
      <c r="C499" s="13">
        <f>IFERROR(__xludf.DUMMYFUNCTION("""COMPUTED_VALUE"""),500.0)</f>
        <v>500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</sheetData>
  <drawing r:id="rId1"/>
</worksheet>
</file>