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<sst xmlns="http://schemas.openxmlformats.org/spreadsheetml/2006/main" count="433" uniqueCount="288">
  <si>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</si>
  <si>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</si>
  <si>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</si>
  <si>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</si>
  <si>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</si>
  <si>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</si>
  <si>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</si>
  <si>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</si>
  <si>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</si>
  <si>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</si>
  <si>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</si>
  <si>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</si>
  <si>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</si>
  <si>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</si>
  <si>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</si>
  <si>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</si>
  <si>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</si>
  <si>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</si>
  <si>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</si>
  <si>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</si>
  <si>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</si>
  <si>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</si>
  <si>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</si>
  <si>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</si>
  <si>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</si>
  <si>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</si>
  <si>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</si>
  <si>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</si>
  <si>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</si>
  <si>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Guard Helmet</t>
  </si>
  <si>
    <t>Head</t>
  </si>
  <si>
    <t>📿 (1) Neck:</t>
  </si>
  <si>
    <t>Neck</t>
  </si>
  <si>
    <t>📿 (2) Neck:</t>
  </si>
  <si>
    <t>📿 (3) Neck:</t>
  </si>
  <si>
    <t>🎒(1) Shoulders</t>
  </si>
  <si>
    <t>Guard Pauldrons</t>
  </si>
  <si>
    <t>Shoulders</t>
  </si>
  <si>
    <t>🧥 (1) Torso:</t>
  </si>
  <si>
    <t>Guard Chestplate</t>
  </si>
  <si>
    <t>Torso</t>
  </si>
  <si>
    <t>💪(1) Arms</t>
  </si>
  <si>
    <t>Guard Vambraces</t>
  </si>
  <si>
    <t>Arms</t>
  </si>
  <si>
    <t>🖐 (1) L. Hand:</t>
  </si>
  <si>
    <t>Guard Shield</t>
  </si>
  <si>
    <t>Hand</t>
  </si>
  <si>
    <t>🖐 (1) R. Hand:</t>
  </si>
  <si>
    <t>Guard Sword</t>
  </si>
  <si>
    <t>💍 (1) Fingers:</t>
  </si>
  <si>
    <t>Ring</t>
  </si>
  <si>
    <t>💍 (2) Fingers:</t>
  </si>
  <si>
    <t>💍 (3) Fingers:</t>
  </si>
  <si>
    <t>💍 (4) Fingers:</t>
  </si>
  <si>
    <t>💍 (5) Fingers:</t>
  </si>
  <si>
    <t>💍 (6) Fingers:</t>
  </si>
  <si>
    <t>💍 (7) Fingers:</t>
  </si>
  <si>
    <t>💍 (8) Fingers:</t>
  </si>
  <si>
    <t>💍 (9) Fingers:</t>
  </si>
  <si>
    <t>💍 (10) Fingers:</t>
  </si>
  <si>
    <t>👖 (1) Legs:</t>
  </si>
  <si>
    <t>Guard Leggings</t>
  </si>
  <si>
    <t>Legs</t>
  </si>
  <si>
    <t>🥾 (1) Feet:</t>
  </si>
  <si>
    <t>Guard Boots</t>
  </si>
  <si>
    <t>Feet</t>
  </si>
  <si>
    <t>⚒ SUB CLASSES</t>
  </si>
  <si>
    <t>Blacksmith</t>
  </si>
  <si>
    <t>Breeder</t>
  </si>
  <si>
    <t>Level:</t>
  </si>
  <si>
    <t>Enchanter</t>
  </si>
  <si>
    <t>Crafter</t>
  </si>
  <si>
    <t>Alchemist</t>
  </si>
  <si>
    <t>Farmer</t>
  </si>
  <si>
    <t>Chef</t>
  </si>
  <si>
    <t>Miner</t>
  </si>
  <si>
    <t>Spira Guard</t>
  </si>
  <si>
    <t>Fisherman</t>
  </si>
  <si>
    <t>Rank:</t>
  </si>
  <si>
    <t>Private</t>
  </si>
  <si>
    <t>Tier:</t>
  </si>
  <si>
    <t>Achievements</t>
  </si>
  <si>
    <t>Title Equip</t>
  </si>
  <si>
    <t>Notoriety Gained</t>
  </si>
  <si>
    <t>Bounty</t>
  </si>
  <si>
    <t>📜Quest Name</t>
  </si>
  <si>
    <t>Completed?</t>
  </si>
  <si>
    <t>Location</t>
  </si>
  <si>
    <t>Base Rolled Stats</t>
  </si>
  <si>
    <t>Racial Bonus</t>
  </si>
  <si>
    <t>Class Bonus</t>
  </si>
  <si>
    <t>Human Check</t>
  </si>
  <si>
    <t>Half Race</t>
  </si>
  <si>
    <t>Race:</t>
  </si>
  <si>
    <t>Blood Elf</t>
  </si>
  <si>
    <t>Half Class</t>
  </si>
  <si>
    <t>Class:</t>
  </si>
  <si>
    <t>Monk</t>
  </si>
  <si>
    <t>Half Race:</t>
  </si>
  <si>
    <t>Halfling</t>
  </si>
  <si>
    <t>Half Class:</t>
  </si>
  <si>
    <t>Knight</t>
  </si>
  <si>
    <t>Fire</t>
  </si>
  <si>
    <t>Enhanced Class:</t>
  </si>
  <si>
    <t>Grand Abbot</t>
  </si>
  <si>
    <t>Water</t>
  </si>
  <si>
    <t>Starting Town:</t>
  </si>
  <si>
    <t>Spell Slots Number:</t>
  </si>
  <si>
    <t>Enhanced Half Class:</t>
  </si>
  <si>
    <t>Dark Knight</t>
  </si>
  <si>
    <t>Storm</t>
  </si>
  <si>
    <t>HP</t>
  </si>
  <si>
    <t>Character Name:</t>
  </si>
  <si>
    <t>Corrupt Guard (Change Name)</t>
  </si>
  <si>
    <t>Select Element1:</t>
  </si>
  <si>
    <t>Earth</t>
  </si>
  <si>
    <t>SP</t>
  </si>
  <si>
    <t>Sex:</t>
  </si>
  <si>
    <t>Astrological Sign:</t>
  </si>
  <si>
    <t>Cancer</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</si>
  <si>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</si>
  <si>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</si>
  <si>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</si>
  <si>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</si>
  <si>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</si>
  <si>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</si>
  <si>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</si>
  <si>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</si>
  <si>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</si>
  <si>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</si>
  <si>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</si>
  <si>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</si>
  <si>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</si>
  <si>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</si>
  <si>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</si>
  <si>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</si>
  <si>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</si>
  <si>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</si>
  <si>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</si>
  <si>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</si>
  <si>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Light 75,000
Celestial 75,000</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</si>
  <si>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</si>
  <si>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</si>
  <si>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</si>
  <si>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</si>
  <si>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</si>
  <si>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</si>
  <si>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</si>
  <si>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</si>
  <si>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</si>
  <si>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</si>
  <si>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</si>
  <si>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</si>
  <si>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</si>
  <si>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</si>
  <si>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</si>
  <si>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</si>
  <si>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</si>
  <si>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</si>
  <si>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</si>
  <si>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</si>
  <si>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Judges of Abstara</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</si>
  <si>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</si>
  <si>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</si>
  <si>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</si>
  <si>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</si>
  <si>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</si>
  <si>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</si>
  <si>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</si>
  <si>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</si>
  <si>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</si>
  <si>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</si>
  <si>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</si>
  <si>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</si>
  <si>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</si>
  <si>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</si>
  <si>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</si>
  <si>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</si>
  <si>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</si>
  <si>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</si>
  <si>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</si>
  <si>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</si>
  <si>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</si>
  <si>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</si>
  <si>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</si>
  <si>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</si>
  <si>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</si>
  <si>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</si>
  <si>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</si>
  <si>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</si>
  <si>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</si>
  <si>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</si>
  <si>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</si>
  <si>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</si>
  <si>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</si>
  <si>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</si>
  <si>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</si>
  <si>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</si>
  <si>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</si>
  <si>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</si>
  <si>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</si>
  <si>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</si>
  <si>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</si>
  <si>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</si>
  <si>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</si>
  <si>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</si>
  <si>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</si>
  <si>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</si>
  <si>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</si>
  <si>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</si>
  <si>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</si>
  <si>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</si>
  <si>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</si>
  <si>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</si>
  <si>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</si>
  <si>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</si>
  <si>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</si>
  <si>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</si>
  <si>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</si>
  <si>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</si>
  <si>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</si>
  <si>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</si>
  <si>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</si>
  <si>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</si>
  <si>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</si>
  <si>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</si>
  <si>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</si>
  <si>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</si>
  <si>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Arrest</t>
  </si>
  <si>
    <t>Guard Call (Player)</t>
  </si>
  <si>
    <t>Confiscate</t>
  </si>
  <si>
    <t>Freezing Fog</t>
  </si>
  <si>
    <t>Dimensional Quake</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</si>
  <si>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</si>
  <si>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</si>
  <si>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</si>
  <si>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</si>
  <si>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</si>
  <si>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</si>
  <si>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</si>
  <si>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</si>
  <si>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</si>
  <si>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</si>
  <si>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</si>
  <si>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</si>
  <si>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</si>
  <si>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</si>
  <si>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</si>
  <si>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</si>
  <si>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Quest Item</t>
  </si>
  <si>
    <t>DEF: +25000, Light DEF: +25000, Celestial DEF: +25000</t>
  </si>
  <si>
    <t>DEF: +25000, Light DEF: +25000, Celestial DEF: +25000 +Cannot be duplicated.</t>
  </si>
  <si>
    <t>DEF: +25000, Light DEF: +25000, Celestial DEF: +25000 +Cannot be duplicated</t>
  </si>
  <si>
    <t>DMG: +25000, Light DMG: +25000, Celestial DMG: +25000</t>
  </si>
  <si>
    <t>Towershield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</si>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</sst>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4" numFmtId="0" xfId="0" applyAlignment="1" applyFont="1">
      <alignmen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7810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Corrupt Guard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Blood Elf
Half Race: Halfling</v>
      </c>
      <c r="C10" s="2"/>
      <c r="D10" s="13" t="str">
        <f>"🏹 Class: "&amp;IF(Leveler!I2,Leveler!K1&amp;CHAR(10)&amp;"Half Class: "&amp;Leveler!K2,Leveler!K1)</f>
        <v>🏹 Class: Monk
Half Class: Knight</v>
      </c>
      <c r="E10" s="2"/>
      <c r="F10" s="14" t="s">
        <v>0</v>
      </c>
      <c r="G10" s="14" t="s">
        <v>1</v>
      </c>
      <c r="H10" s="14" t="s">
        <v>2</v>
      </c>
      <c r="I10" s="14" t="s">
        <v>3</v>
      </c>
      <c r="J10" s="14" t="s">
        <v>4</v>
      </c>
      <c r="L10" s="15" t="s">
        <v>5</v>
      </c>
      <c r="M10" s="2"/>
    </row>
    <row r="11">
      <c r="B11" s="11" t="str">
        <f>"⚔️ Attack: "&amp;Leveler!B18+F13</f>
        <v>⚔️ Attack: 219</v>
      </c>
      <c r="C11" s="11" t="str">
        <f>"🛡️ Defense: "&amp;Leveler!C18+G13</f>
        <v>🛡️ Defense: 175219</v>
      </c>
      <c r="D11" s="11" t="str">
        <f>"🎯 Accuracy: "&amp;Leveler!D18+H13</f>
        <v>🎯 Accuracy: 219</v>
      </c>
      <c r="E11" s="11" t="str">
        <f>"😇[P] Charisma: "&amp;Leveler!E20+I13</f>
        <v>😇[P] Charisma: 20</v>
      </c>
      <c r="F11" s="16"/>
      <c r="G11" s="14">
        <v>0.0</v>
      </c>
      <c r="H11" s="14">
        <v>0.0</v>
      </c>
      <c r="I11" s="14">
        <v>0.0</v>
      </c>
      <c r="J11" s="14">
        <v>0.0</v>
      </c>
      <c r="L11" s="17" t="s">
        <v>6</v>
      </c>
      <c r="M11" s="18">
        <v>1.0</v>
      </c>
    </row>
    <row r="12">
      <c r="B12" s="19" t="str">
        <f>"🤯[P] Wisdom: "&amp;Leveler!F20+F15</f>
        <v>🤯[P] Wisdom: 8</v>
      </c>
      <c r="C12" s="11" t="str">
        <f>"❤️[P] Constitution: "&amp;Leveler!G20+G15</f>
        <v>❤️[P] Constitution: 75</v>
      </c>
      <c r="D12" s="11" t="str">
        <f>"🏃‍♀️[P] Evasion: "&amp;Leveler!H20+H15</f>
        <v>🏃‍♀️[P] Evasion: 5</v>
      </c>
      <c r="E12" s="11" t="str">
        <f>"😈[P] Intimidation: "&amp;Leveler!I20+I15</f>
        <v>😈[P] Intimidation: 20</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Cancer</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+5 Charisma, +3 Wisdom
Has a 20% chance of any attack missing them</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 Charisma 
Starts with the Ability “Spira Guard”
Enhanced Class Bonuses: Rank 9 in all elements (excluding Acoustic)
20% chance of not having to battle a non corrupt guard. Unaffected by bonuses.
X2 to Spell and Weapon Damage
Dark Immune
+10 Intimidation
If you attack with a weapon that deals, Dark, Chaos, or Voodoo damage you can add mobility to that attack roll.</v>
      </c>
      <c r="C19" s="6"/>
      <c r="D19" s="6"/>
      <c r="E19" s="2"/>
    </row>
    <row r="20">
      <c r="B20" s="13" t="str">
        <f>"Other Bonuses: "&amp;Leveler!F14</f>
        <v>Other Bonuses: </v>
      </c>
      <c r="C20" s="6"/>
      <c r="D20" s="6"/>
      <c r="E20" s="2"/>
    </row>
    <row r="21">
      <c r="B21" s="13" t="str">
        <f>"Resistances: "&amp;Leveler!H12&amp;CHAR(10)&amp;"Vulnerabilities: "&amp;Leveler!H13</f>
        <v>Resistances: Light 75,000
Celestial 75,000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Quest Item</v>
      </c>
      <c r="E35" s="16" t="str">
        <f>IFERROR(VLOOKUP($C35,Backpack!$B$10:$G1019,MATCH(E$34,Backpack!$B$9:$G$9,0),FALSE),"")</f>
        <v/>
      </c>
      <c r="F35" s="16" t="str">
        <f>IFERROR(VLOOKUP($C35,Backpack!$B$10:$G1019,MATCH(F$34,Backpack!$B$9:$G$9,0),FALSE),"")</f>
        <v>DEF: +25000, Light DEF: +25000, Celestial DEF: +25000</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t="s">
        <v>36</v>
      </c>
      <c r="D39" s="16" t="str">
        <f>IFERROR(VLOOKUP($C39,Backpack!$B$10:$G1019,MATCH(D$34,Backpack!$B$9:$G$9,0),FALSE),"")</f>
        <v>Quest Item</v>
      </c>
      <c r="E39" s="16" t="str">
        <f>IFERROR(VLOOKUP($C39,Backpack!$B$10:$G1019,MATCH(E$34,Backpack!$B$9:$G$9,0),FALSE),"")</f>
        <v/>
      </c>
      <c r="F39" s="16" t="str">
        <f>IFERROR(VLOOKUP($C39,Backpack!$B$10:$G1019,MATCH(F$34,Backpack!$B$9:$G$9,0),FALSE),"")</f>
        <v>DEF: +25000, Light DEF: +25000, Celestial DEF: +25000 +Cannot be duplicated</v>
      </c>
      <c r="G39" s="42"/>
      <c r="H39" s="42"/>
      <c r="I39" s="42"/>
      <c r="T39" s="14" t="s">
        <v>37</v>
      </c>
      <c r="U39" s="16" t="b">
        <f>IF(ISBLANK($C39),"",IF(IFERROR(VLOOKUP($C39,Backpack!$B$10:$G1019,MATCH("Slot",Backpack!$B$9:$G$9,0),FALSE),"")=T39,FALSE,TRUE))</f>
        <v>0</v>
      </c>
      <c r="V39" s="16" t="b">
        <f>IF(ISBLANK($C39),"",IF(Value(IFERROR(VLOOKUP($C39,Backpack!$B$10:$G1019,MATCH("Level Requirement",Backpack!$B$9:$G$9,0),FALSE),""))&gt;Leveler!$B$13,TRUE,FALSE))</f>
        <v>0</v>
      </c>
    </row>
    <row r="40">
      <c r="B40" s="40" t="s">
        <v>38</v>
      </c>
      <c r="C40" s="41" t="s">
        <v>39</v>
      </c>
      <c r="D40" s="16" t="str">
        <f>IFERROR(VLOOKUP($C40,Backpack!$B$10:$G1019,MATCH(D$34,Backpack!$B$9:$G$9,0),FALSE),"")</f>
        <v>Quest Item</v>
      </c>
      <c r="E40" s="16" t="str">
        <f>IFERROR(VLOOKUP($C40,Backpack!$B$10:$G1019,MATCH(E$34,Backpack!$B$9:$G$9,0),FALSE),"")</f>
        <v/>
      </c>
      <c r="F40" s="16" t="str">
        <f>IFERROR(VLOOKUP($C40,Backpack!$B$10:$G1019,MATCH(F$34,Backpack!$B$9:$G$9,0),FALSE),"")</f>
        <v>DEF: +25000, Light DEF: +25000, Celestial DEF: +25000 +Cannot be duplicated.</v>
      </c>
      <c r="G40" s="42"/>
      <c r="H40" s="42"/>
      <c r="I40" s="42"/>
      <c r="T40" s="14" t="s">
        <v>40</v>
      </c>
      <c r="U40" s="16" t="b">
        <f>IF(ISBLANK($C40),"",IF(IFERROR(VLOOKUP($C40,Backpack!$B$10:$G1019,MATCH("Slot",Backpack!$B$9:$G$9,0),FALSE),"")=T40,FALSE,TRUE))</f>
        <v>0</v>
      </c>
      <c r="V40" s="16" t="b">
        <f>IF(ISBLANK($C40),"",IF(Value(IFERROR(VLOOKUP($C40,Backpack!$B$10:$G1019,MATCH("Level Requirement",Backpack!$B$9:$G$9,0),FALSE),""))&gt;Leveler!$B$13,TRUE,FALSE))</f>
        <v>0</v>
      </c>
    </row>
    <row r="41">
      <c r="B41" s="40" t="s">
        <v>41</v>
      </c>
      <c r="C41" s="41" t="s">
        <v>42</v>
      </c>
      <c r="D41" s="16" t="str">
        <f>IFERROR(VLOOKUP($C41,Backpack!$B$10:$G1019,MATCH(D$34,Backpack!$B$9:$G$9,0),FALSE),"")</f>
        <v>Quest Item</v>
      </c>
      <c r="E41" s="16" t="str">
        <f>IFERROR(VLOOKUP($C41,Backpack!$B$10:$G1019,MATCH(E$34,Backpack!$B$9:$G$9,0),FALSE),"")</f>
        <v/>
      </c>
      <c r="F41" s="16" t="str">
        <f>IFERROR(VLOOKUP($C41,Backpack!$B$10:$G1019,MATCH(F$34,Backpack!$B$9:$G$9,0),FALSE),"")</f>
        <v>DEF: +25000, Light DEF: +25000, Celestial DEF: +25000 +Cannot be duplicated</v>
      </c>
      <c r="G41" s="42"/>
      <c r="H41" s="42"/>
      <c r="I41" s="42"/>
      <c r="T41" s="14" t="s">
        <v>43</v>
      </c>
      <c r="U41" s="16" t="b">
        <f>IF(ISBLANK($C41),"",IF(IFERROR(VLOOKUP($C41,Backpack!$B$10:$G1019,MATCH("Slot",Backpack!$B$9:$G$9,0),FALSE),"")=T41,FALSE,TRUE))</f>
        <v>0</v>
      </c>
      <c r="V41" s="16" t="b">
        <f>IF(ISBLANK($C41),"",IF(Value(IFERROR(VLOOKUP($C41,Backpack!$B$10:$G1019,MATCH("Level Requirement",Backpack!$B$9:$G$9,0),FALSE),""))&gt;Leveler!$B$13,TRUE,FALSE))</f>
        <v>0</v>
      </c>
    </row>
    <row r="42">
      <c r="B42" s="40" t="s">
        <v>44</v>
      </c>
      <c r="C42" s="41" t="s">
        <v>45</v>
      </c>
      <c r="D42" s="16" t="str">
        <f>IFERROR(VLOOKUP($C42,Backpack!$B$10:$G1019,MATCH(D$34,Backpack!$B$9:$G$9,0),FALSE),"")</f>
        <v>Quest Item</v>
      </c>
      <c r="E42" s="16" t="str">
        <f>IFERROR(VLOOKUP($C42,Backpack!$B$10:$G1019,MATCH(E$34,Backpack!$B$9:$G$9,0),FALSE),"")</f>
        <v>Towershield</v>
      </c>
      <c r="F42" s="16" t="str">
        <f>IFERROR(VLOOKUP($C42,Backpack!$B$10:$G1019,MATCH(F$34,Backpack!$B$9:$G$9,0),FALSE),"")</f>
        <v>DEF: +25000, Light DEF: +25000, Celestial DEF: +25000</v>
      </c>
      <c r="G42" s="42"/>
      <c r="H42" s="42"/>
      <c r="I42" s="42"/>
      <c r="J42" s="37"/>
      <c r="K42" s="37"/>
      <c r="L42" s="37"/>
      <c r="T42" s="14" t="s">
        <v>46</v>
      </c>
      <c r="U42" s="16" t="b">
        <f>IF(ISBLANK($C42),"",IF(IFERROR(VLOOKUP($C42,Backpack!$B$10:$G1019,MATCH("Slot",Backpack!$B$9:$G$9,0),FALSE),"")=T42,FALSE,TRUE))</f>
        <v>0</v>
      </c>
      <c r="V42" s="16" t="b">
        <f>IF(ISBLANK($C42),"",IF(Value(IFERROR(VLOOKUP($C42,Backpack!$B$10:$G1019,MATCH("Level Requirement",Backpack!$B$9:$G$9,0),FALSE),""))&gt;Leveler!$B$13,TRUE,FALSE))</f>
        <v>0</v>
      </c>
    </row>
    <row r="43">
      <c r="B43" s="40" t="s">
        <v>47</v>
      </c>
      <c r="C43" s="41" t="s">
        <v>48</v>
      </c>
      <c r="D43" s="16" t="str">
        <f>IFERROR(VLOOKUP($C43,Backpack!$B$10:$G1019,MATCH(D$34,Backpack!$B$9:$G$9,0),FALSE),"")</f>
        <v>Quest Item</v>
      </c>
      <c r="E43" s="16" t="str">
        <f>IFERROR(VLOOKUP($C43,Backpack!$B$10:$G1019,MATCH(E$34,Backpack!$B$9:$G$9,0),FALSE),"")</f>
        <v>Sword</v>
      </c>
      <c r="F43" s="16" t="str">
        <f>IFERROR(VLOOKUP($C43,Backpack!$B$10:$G1019,MATCH(F$34,Backpack!$B$9:$G$9,0),FALSE),"")</f>
        <v>DMG: +25000, Light DMG: +25000, Celestial DMG: +25000</v>
      </c>
      <c r="G43" s="42"/>
      <c r="H43" s="42"/>
      <c r="I43" s="42"/>
      <c r="J43" s="37"/>
      <c r="K43" s="37"/>
      <c r="L43" s="37"/>
      <c r="T43" s="14" t="s">
        <v>46</v>
      </c>
      <c r="U43" s="16" t="b">
        <f>IF(ISBLANK($C43),"",IF(IFERROR(VLOOKUP($C43,Backpack!$B$10:$G1019,MATCH("Slot",Backpack!$B$9:$G$9,0),FALSE),"")=T43,FALSE,TRUE))</f>
        <v>0</v>
      </c>
      <c r="V43" s="16" t="b">
        <f>IF(ISBLANK($C43),"",IF(Value(IFERROR(VLOOKUP($C43,Backpack!$B$10:$G1019,MATCH("Level Requirement",Backpack!$B$9:$G$9,0),FALSE),""))&gt;Leveler!$B$13,TRUE,FALSE))</f>
        <v>0</v>
      </c>
    </row>
    <row r="44">
      <c r="B44" s="40" t="s">
        <v>49</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50</v>
      </c>
      <c r="U44" s="16" t="str">
        <f>IF(ISBLANK($C44),"",IF(IFERROR(VLOOKUP($C44,Backpack!$B$10:$G1019,MATCH("Slot",Backpack!$B$9:$G$9,0),FALSE),"")=T44,FALSE,TRUE))</f>
        <v/>
      </c>
      <c r="V44" s="16" t="str">
        <f>IF(ISBLANK($C44),"",IF(Value(IFERROR(VLOOKUP($C44,Backpack!$B$10:$G1019,MATCH("Level Requirement",Backpack!$B$9:$G$9,0),FALSE),""))&gt;Leveler!$B$13,TRUE,FALSE))</f>
        <v/>
      </c>
    </row>
    <row r="45">
      <c r="B45" s="40" t="s">
        <v>51</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50</v>
      </c>
      <c r="U45" s="16" t="str">
        <f>IF(ISBLANK($C45),"",IF(IFERROR(VLOOKUP($C45,Backpack!$B$10:$G1019,MATCH("Slot",Backpack!$B$9:$G$9,0),FALSE),"")=T45,FALSE,TRUE))</f>
        <v/>
      </c>
      <c r="V45" s="16" t="str">
        <f>IF(ISBLANK($C45),"",IF(Value(IFERROR(VLOOKUP($C45,Backpack!$B$10:$G1019,MATCH("Level Requirement",Backpack!$B$9:$G$9,0),FALSE),""))&gt;Leveler!$B$13,TRUE,FALSE))</f>
        <v/>
      </c>
    </row>
    <row r="46">
      <c r="B46" s="40" t="s">
        <v>52</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50</v>
      </c>
      <c r="U46" s="16" t="str">
        <f>IF(ISBLANK($C46),"",IF(IFERROR(VLOOKUP($C46,Backpack!$B$10:$G1019,MATCH("Slot",Backpack!$B$9:$G$9,0),FALSE),"")=T46,FALSE,TRUE))</f>
        <v/>
      </c>
      <c r="V46" s="16" t="str">
        <f>IF(ISBLANK($C46),"",IF(Value(IFERROR(VLOOKUP($C46,Backpack!$B$10:$G1019,MATCH("Level Requirement",Backpack!$B$9:$G$9,0),FALSE),""))&gt;Leveler!$B$13,TRUE,FALSE))</f>
        <v/>
      </c>
    </row>
    <row r="47">
      <c r="B47" s="40" t="s">
        <v>53</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50</v>
      </c>
      <c r="U47" s="16" t="str">
        <f>IF(ISBLANK($C47),"",IF(IFERROR(VLOOKUP($C47,Backpack!$B$10:$G1019,MATCH("Slot",Backpack!$B$9:$G$9,0),FALSE),"")=T47,FALSE,TRUE))</f>
        <v/>
      </c>
      <c r="V47" s="16" t="str">
        <f>IF(ISBLANK($C47),"",IF(Value(IFERROR(VLOOKUP($C47,Backpack!$B$10:$G1019,MATCH("Level Requirement",Backpack!$B$9:$G$9,0),FALSE),""))&gt;Leveler!$B$13,TRUE,FALSE))</f>
        <v/>
      </c>
    </row>
    <row r="48">
      <c r="B48" s="40" t="s">
        <v>54</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50</v>
      </c>
      <c r="U48" s="16" t="str">
        <f>IF(ISBLANK($C48),"",IF(IFERROR(VLOOKUP($C48,Backpack!$B$10:$G1019,MATCH("Slot",Backpack!$B$9:$G$9,0),FALSE),"")=T48,FALSE,TRUE))</f>
        <v/>
      </c>
      <c r="V48" s="16" t="str">
        <f>IF(ISBLANK($C48),"",IF(Value(IFERROR(VLOOKUP($C48,Backpack!$B$10:$G1019,MATCH("Level Requirement",Backpack!$B$9:$G$9,0),FALSE),""))&gt;Leveler!$B$13,TRUE,FALSE))</f>
        <v/>
      </c>
    </row>
    <row r="49">
      <c r="B49" s="40" t="s">
        <v>55</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50</v>
      </c>
      <c r="U49" s="16" t="str">
        <f>IF(ISBLANK($C49),"",IF(IFERROR(VLOOKUP($C49,Backpack!$B$10:$G1019,MATCH("Slot",Backpack!$B$9:$G$9,0),FALSE),"")=T49,FALSE,TRUE))</f>
        <v/>
      </c>
      <c r="V49" s="16" t="str">
        <f>IF(ISBLANK($C49),"",IF(Value(IFERROR(VLOOKUP($C49,Backpack!$B$10:$G1019,MATCH("Level Requirement",Backpack!$B$9:$G$9,0),FALSE),""))&gt;Leveler!$B$13,TRUE,FALSE))</f>
        <v/>
      </c>
    </row>
    <row r="50">
      <c r="B50" s="40" t="s">
        <v>56</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50</v>
      </c>
      <c r="U50" s="16" t="str">
        <f>IF(ISBLANK($C50),"",IF(IFERROR(VLOOKUP($C50,Backpack!$B$10:$G1019,MATCH("Slot",Backpack!$B$9:$G$9,0),FALSE),"")=T50,FALSE,TRUE))</f>
        <v/>
      </c>
      <c r="V50" s="16" t="str">
        <f>IF(ISBLANK($C50),"",IF(Value(IFERROR(VLOOKUP($C50,Backpack!$B$10:$G1019,MATCH("Level Requirement",Backpack!$B$9:$G$9,0),FALSE),""))&gt;Leveler!$B$13,TRUE,FALSE))</f>
        <v/>
      </c>
    </row>
    <row r="51">
      <c r="B51" s="40" t="s">
        <v>57</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50</v>
      </c>
      <c r="U51" s="16" t="str">
        <f>IF(ISBLANK($C51),"",IF(IFERROR(VLOOKUP($C51,Backpack!$B$10:$G1019,MATCH("Slot",Backpack!$B$9:$G$9,0),FALSE),"")=T51,FALSE,TRUE))</f>
        <v/>
      </c>
      <c r="V51" s="16" t="str">
        <f>IF(ISBLANK($C51),"",IF(Value(IFERROR(VLOOKUP($C51,Backpack!$B$10:$G1019,MATCH("Level Requirement",Backpack!$B$9:$G$9,0),FALSE),""))&gt;Leveler!$B$13,TRUE,FALSE))</f>
        <v/>
      </c>
    </row>
    <row r="52">
      <c r="B52" s="40" t="s">
        <v>58</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50</v>
      </c>
      <c r="U52" s="16" t="str">
        <f>IF(ISBLANK($C52),"",IF(IFERROR(VLOOKUP($C52,Backpack!$B$10:$G1019,MATCH("Slot",Backpack!$B$9:$G$9,0),FALSE),"")=T52,FALSE,TRUE))</f>
        <v/>
      </c>
      <c r="V52" s="16" t="str">
        <f>IF(ISBLANK($C52),"",IF(Value(IFERROR(VLOOKUP($C52,Backpack!$B$10:$G1019,MATCH("Level Requirement",Backpack!$B$9:$G$9,0),FALSE),""))&gt;Leveler!$B$13,TRUE,FALSE))</f>
        <v/>
      </c>
    </row>
    <row r="53">
      <c r="B53" s="40" t="s">
        <v>59</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50</v>
      </c>
      <c r="U53" s="16" t="str">
        <f>IF(ISBLANK($C53),"",IF(IFERROR(VLOOKUP($C53,Backpack!$B$10:$G1019,MATCH("Slot",Backpack!$B$9:$G$9,0),FALSE),"")=T53,FALSE,TRUE))</f>
        <v/>
      </c>
      <c r="V53" s="16" t="str">
        <f>IF(ISBLANK($C53),"",IF(Value(IFERROR(VLOOKUP($C53,Backpack!$B$10:$G1019,MATCH("Level Requirement",Backpack!$B$9:$G$9,0),FALSE),""))&gt;Leveler!$B$13,TRUE,FALSE))</f>
        <v/>
      </c>
    </row>
    <row r="54">
      <c r="B54" s="40" t="s">
        <v>60</v>
      </c>
      <c r="C54" s="41" t="s">
        <v>61</v>
      </c>
      <c r="D54" s="16" t="str">
        <f>IFERROR(VLOOKUP($C54,Backpack!$B$10:$G1019,MATCH(D$34,Backpack!$B$9:$G$9,0),FALSE),"")</f>
        <v>Quest Item</v>
      </c>
      <c r="E54" s="16" t="str">
        <f>IFERROR(VLOOKUP($C54,Backpack!$B$10:$G1019,MATCH(E$34,Backpack!$B$9:$G$9,0),FALSE),"")</f>
        <v/>
      </c>
      <c r="F54" s="16" t="str">
        <f>IFERROR(VLOOKUP($C54,Backpack!$B$10:$G1019,MATCH(F$34,Backpack!$B$9:$G$9,0),FALSE),"")</f>
        <v>DEF: +25000, Light DEF: +25000, Celestial DEF: +25000 +Cannot be duplicated</v>
      </c>
      <c r="G54" s="42"/>
      <c r="H54" s="42"/>
      <c r="I54" s="42"/>
      <c r="T54" s="14" t="s">
        <v>62</v>
      </c>
      <c r="U54" s="16" t="b">
        <f>IF(ISBLANK($C54),"",IF(IFERROR(VLOOKUP($C54,Backpack!$B$10:$G1019,MATCH("Slot",Backpack!$B$9:$G$9,0),FALSE),"")=T54,FALSE,TRUE))</f>
        <v>0</v>
      </c>
      <c r="V54" s="16" t="b">
        <f>IF(ISBLANK($C54),"",IF(Value(IFERROR(VLOOKUP($C54,Backpack!$B$10:$G1019,MATCH("Level Requirement",Backpack!$B$9:$G$9,0),FALSE),""))&gt;Leveler!$B$13,TRUE,FALSE))</f>
        <v>0</v>
      </c>
    </row>
    <row r="55">
      <c r="B55" s="40" t="s">
        <v>63</v>
      </c>
      <c r="C55" s="41" t="s">
        <v>64</v>
      </c>
      <c r="D55" s="16" t="str">
        <f>IFERROR(VLOOKUP($C55,Backpack!$B$10:$G1019,MATCH(D$34,Backpack!$B$9:$G$9,0),FALSE),"")</f>
        <v>Quest Item</v>
      </c>
      <c r="E55" s="16" t="str">
        <f>IFERROR(VLOOKUP($C55,Backpack!$B$10:$G1019,MATCH(E$34,Backpack!$B$9:$G$9,0),FALSE),"")</f>
        <v/>
      </c>
      <c r="F55" s="16" t="str">
        <f>IFERROR(VLOOKUP($C55,Backpack!$B$10:$G1019,MATCH(F$34,Backpack!$B$9:$G$9,0),FALSE),"")</f>
        <v>DEF: +25000, Light DEF: +25000, Celestial DEF: +25000 +Cannot be duplicated</v>
      </c>
      <c r="G55" s="42"/>
      <c r="H55" s="42"/>
      <c r="I55" s="42"/>
      <c r="T55" s="14" t="s">
        <v>65</v>
      </c>
      <c r="U55" s="16" t="b">
        <f>IF(ISBLANK($C55),"",IF(IFERROR(VLOOKUP($C55,Backpack!$B$10:$G1019,MATCH("Slot",Backpack!$B$9:$G$9,0),FALSE),"")=T55,FALSE,TRUE))</f>
        <v>0</v>
      </c>
      <c r="V55" s="16" t="b">
        <f>IF(ISBLANK($C55),"",IF(Value(IFERROR(VLOOKUP($C55,Backpack!$B$10:$G1019,MATCH("Level Requirement",Backpack!$B$9:$G$9,0),FALSE),""))&gt;Leveler!$B$13,TRUE,FALSE))</f>
        <v>0</v>
      </c>
    </row>
    <row r="57">
      <c r="B57" s="45" t="s">
        <v>66</v>
      </c>
    </row>
    <row r="58">
      <c r="B58" s="46" t="s">
        <v>67</v>
      </c>
      <c r="C58" s="14" t="b">
        <v>0</v>
      </c>
      <c r="D58" s="46" t="s">
        <v>68</v>
      </c>
      <c r="E58" s="14" t="b">
        <v>0</v>
      </c>
    </row>
    <row r="59">
      <c r="B59" s="47" t="s">
        <v>69</v>
      </c>
      <c r="D59" s="48" t="s">
        <v>69</v>
      </c>
    </row>
    <row r="60">
      <c r="B60" s="46"/>
    </row>
    <row r="61">
      <c r="B61" s="46" t="s">
        <v>70</v>
      </c>
      <c r="C61" s="14" t="b">
        <v>0</v>
      </c>
      <c r="D61" s="46" t="s">
        <v>71</v>
      </c>
      <c r="E61" s="14" t="b">
        <v>0</v>
      </c>
    </row>
    <row r="62">
      <c r="B62" s="47" t="s">
        <v>69</v>
      </c>
      <c r="D62" s="48" t="s">
        <v>69</v>
      </c>
    </row>
    <row r="63">
      <c r="B63" s="46"/>
    </row>
    <row r="64">
      <c r="B64" s="46" t="s">
        <v>72</v>
      </c>
      <c r="C64" s="14" t="b">
        <v>0</v>
      </c>
      <c r="D64" s="46" t="s">
        <v>73</v>
      </c>
      <c r="E64" s="14" t="b">
        <v>0</v>
      </c>
    </row>
    <row r="65">
      <c r="B65" s="47" t="s">
        <v>69</v>
      </c>
      <c r="D65" s="48" t="s">
        <v>69</v>
      </c>
    </row>
    <row r="66">
      <c r="B66" s="46"/>
    </row>
    <row r="67">
      <c r="B67" s="46" t="s">
        <v>74</v>
      </c>
      <c r="C67" s="14" t="b">
        <v>0</v>
      </c>
      <c r="D67" s="46" t="s">
        <v>75</v>
      </c>
      <c r="E67" s="14" t="b">
        <v>0</v>
      </c>
    </row>
    <row r="68">
      <c r="B68" s="47" t="s">
        <v>69</v>
      </c>
      <c r="D68" s="48" t="s">
        <v>69</v>
      </c>
    </row>
    <row r="69">
      <c r="B69" s="46"/>
    </row>
    <row r="70">
      <c r="B70" s="46" t="s">
        <v>76</v>
      </c>
      <c r="C70" s="14" t="b">
        <v>1</v>
      </c>
      <c r="D70" s="46" t="s">
        <v>77</v>
      </c>
      <c r="E70" s="14" t="b">
        <v>0</v>
      </c>
    </row>
    <row r="71">
      <c r="B71" s="47" t="s">
        <v>78</v>
      </c>
      <c r="C71" s="14" t="s">
        <v>79</v>
      </c>
      <c r="D71" s="48" t="s">
        <v>69</v>
      </c>
    </row>
    <row r="72">
      <c r="B72" s="47" t="s">
        <v>80</v>
      </c>
      <c r="C72" s="49">
        <v>1.0</v>
      </c>
    </row>
    <row r="73">
      <c r="B73" s="50" t="str">
        <f>HYPERLINK("https://docs.google.com/spreadsheets/d/1eSUtUwW_74KQVD7cwEk5N1aAXJ6VaYm26Np7dzqyft8", "Wanted Board")</f>
        <v>Wanted Board</v>
      </c>
    </row>
    <row r="74">
      <c r="B74" s="51"/>
    </row>
    <row r="75">
      <c r="B75" s="51"/>
    </row>
    <row r="76">
      <c r="B76" s="52" t="s">
        <v>81</v>
      </c>
      <c r="C76" s="38" t="s">
        <v>82</v>
      </c>
      <c r="D76" s="38" t="s">
        <v>83</v>
      </c>
      <c r="E76" s="38" t="s">
        <v>25</v>
      </c>
      <c r="F76" s="38" t="s">
        <v>84</v>
      </c>
      <c r="H76" s="38" t="s">
        <v>85</v>
      </c>
      <c r="J76" s="38" t="s">
        <v>25</v>
      </c>
      <c r="K76" s="38" t="s">
        <v>86</v>
      </c>
      <c r="L76" s="38" t="s">
        <v>26</v>
      </c>
      <c r="M76" s="38" t="s">
        <v>87</v>
      </c>
    </row>
    <row r="77">
      <c r="B77" s="53" t="str">
        <f>IFERROR(__xludf.DUMMYFUNCTION("ifna(QUERY(Achievements!A2:G1019,""Select A where G = True""))"),"Welcome to The Land of Spira")</f>
        <v>Welcome to The Land of Spira</v>
      </c>
      <c r="C77" s="14" t="b">
        <v>0</v>
      </c>
      <c r="D77" s="54" t="str">
        <f>IFERROR(__xludf.DUMMYFUNCTION("ifna(ARRAYFORMULA(QUERY(to_text(NotorietyCombined!A2:G1019),""Select Col2,Col3,Col5 where Col1 = '""""""&amp;Leveler!F5&amp;""""""'"")))"),"")</f>
        <v/>
      </c>
      <c r="E77" s="55"/>
      <c r="F77" s="56"/>
      <c r="H77" s="57" t="str">
        <f>IFERROR(__xludf.DUMMYFUNCTION("ifna(QUERY(Quest_Tracker!A2:I1019,""Select A where G = True Or I = True""))"),"")</f>
        <v/>
      </c>
      <c r="I77" s="2"/>
      <c r="J77" s="58" t="str">
        <f>ifna(HYPERLINK("#gid=1523906944&amp;range="&amp;REPLACE(REPLACE(Address(CELL("row",VLOOKUP($H77,Quest_Tracker!$A$2:$B$900,2,FALSE)),CELL("col",VLOOKUP($H77,Quest_Tracker!$A$2:$B$900,2,FALSE))),1,1,""),2,1,""),VLOOKUP($H77,Quest_Tracker!$A$2:$B$900,2,FALSE)))</f>
        <v/>
      </c>
      <c r="K77" s="59" t="str">
        <f>ifna(VLOOKUP($H77,Quest_Tracker!$A$2:$I$900,9,FALSE))</f>
        <v/>
      </c>
      <c r="L77" s="59" t="str">
        <f>ifna(VLOOKUP($H77,Quest_Tracker!$A$2:$I$900,3,FALSE))</f>
        <v/>
      </c>
      <c r="M77" s="60" t="str">
        <f>ifna(VLOOKUP($H77,Quest_Tracker!$A$2:$I$900,4,FALSE))</f>
        <v/>
      </c>
    </row>
    <row r="78">
      <c r="B78" s="53"/>
      <c r="C78" s="14" t="b">
        <v>0</v>
      </c>
      <c r="D78" s="54"/>
      <c r="E78" s="55"/>
      <c r="F78" s="56"/>
      <c r="H78" s="57"/>
      <c r="I78" s="2"/>
      <c r="J78" s="34" t="str">
        <f>ifna(HYPERLINK("#gid=1523906944&amp;range="&amp;REPLACE(REPLACE(Address(CELL("row",VLOOKUP($H78,Quest_Tracker!$A$2:$B$900,2,FALSE)),CELL("col",VLOOKUP($H78,Quest_Tracker!$A$2:$B$900,2,FALSE))),1,1,""),2,1,""),VLOOKUP($H78,Quest_Tracker!$A$2:$B$900,2,FALSE)))</f>
        <v/>
      </c>
      <c r="K78" s="59" t="str">
        <f>ifna(VLOOKUP($H78,Quest_Tracker!$A$2:$I$900,9,FALSE))</f>
        <v/>
      </c>
      <c r="L78" s="59" t="str">
        <f>ifna(VLOOKUP($H78,Quest_Tracker!$A$2:$I$900,3,FALSE))</f>
        <v/>
      </c>
      <c r="M78" s="60" t="str">
        <f>ifna(VLOOKUP($H78,Quest_Tracker!$A$2:$I$900,4,FALSE))</f>
        <v/>
      </c>
      <c r="N78" s="61"/>
    </row>
    <row r="79">
      <c r="B79" s="53"/>
      <c r="C79" s="14" t="b">
        <v>0</v>
      </c>
      <c r="D79" s="54"/>
      <c r="E79" s="55"/>
      <c r="F79" s="56"/>
      <c r="H79" s="57"/>
      <c r="I79" s="2"/>
      <c r="J79" s="34" t="str">
        <f>ifna(HYPERLINK("#gid=1523906944&amp;range="&amp;REPLACE(REPLACE(Address(CELL("row",VLOOKUP($H79,Quest_Tracker!$A$2:$B$900,2,FALSE)),CELL("col",VLOOKUP($H79,Quest_Tracker!$A$2:$B$900,2,FALSE))),1,1,""),2,1,""),VLOOKUP($H79,Quest_Tracker!$A$2:$B$900,2,FALSE)))</f>
        <v/>
      </c>
      <c r="K79" s="59" t="str">
        <f>ifna(VLOOKUP($H79,Quest_Tracker!$A$2:$I$900,9,FALSE))</f>
        <v/>
      </c>
      <c r="L79" s="59" t="str">
        <f>ifna(VLOOKUP($H79,Quest_Tracker!$A$2:$I$900,3,FALSE))</f>
        <v/>
      </c>
      <c r="M79" s="60" t="str">
        <f>ifna(VLOOKUP($H79,Quest_Tracker!$A$2:$I$900,4,FALSE))</f>
        <v/>
      </c>
    </row>
    <row r="80">
      <c r="B80" s="62"/>
      <c r="C80" s="14" t="b">
        <v>0</v>
      </c>
      <c r="D80" s="54"/>
      <c r="E80" s="55"/>
      <c r="F80" s="56"/>
      <c r="H80" s="57"/>
      <c r="I80" s="2"/>
      <c r="J80" s="34" t="str">
        <f>ifna(HYPERLINK("#gid=1523906944&amp;range="&amp;REPLACE(REPLACE(Address(CELL("row",VLOOKUP($H80,Quest_Tracker!$A$2:$B$900,2,FALSE)),CELL("col",VLOOKUP($H80,Quest_Tracker!$A$2:$B$900,2,FALSE))),1,1,""),2,1,""),VLOOKUP($H80,Quest_Tracker!$A$2:$B$900,2,FALSE)))</f>
        <v/>
      </c>
      <c r="K80" s="59" t="str">
        <f>ifna(VLOOKUP($H80,Quest_Tracker!$A$2:$I$900,9,FALSE))</f>
        <v/>
      </c>
      <c r="L80" s="59" t="str">
        <f>ifna(VLOOKUP($H80,Quest_Tracker!$A$2:$I$900,3,FALSE))</f>
        <v/>
      </c>
      <c r="M80" s="60" t="str">
        <f>ifna(VLOOKUP($H80,Quest_Tracker!$A$2:$I$900,4,FALSE))</f>
        <v/>
      </c>
    </row>
    <row r="81">
      <c r="B81" s="62"/>
      <c r="C81" s="14" t="b">
        <v>0</v>
      </c>
      <c r="D81" s="54"/>
      <c r="E81" s="55"/>
      <c r="F81" s="56"/>
      <c r="H81" s="57"/>
      <c r="I81" s="2"/>
      <c r="J81" s="34" t="str">
        <f>ifna(HYPERLINK("#gid=1523906944&amp;range="&amp;REPLACE(REPLACE(Address(CELL("row",VLOOKUP($H81,Quest_Tracker!$A$2:$B$900,2,FALSE)),CELL("col",VLOOKUP($H81,Quest_Tracker!$A$2:$B$900,2,FALSE))),1,1,""),2,1,""),VLOOKUP($H81,Quest_Tracker!$A$2:$B$900,2,FALSE)))</f>
        <v/>
      </c>
      <c r="K81" s="59" t="str">
        <f>ifna(VLOOKUP($H81,Quest_Tracker!$A$2:$I$900,9,FALSE))</f>
        <v/>
      </c>
      <c r="L81" s="59" t="str">
        <f>ifna(VLOOKUP($H81,Quest_Tracker!$A$2:$I$900,3,FALSE))</f>
        <v/>
      </c>
      <c r="M81" s="60" t="str">
        <f>ifna(VLOOKUP($H81,Quest_Tracker!$A$2:$I$900,4,FALSE))</f>
        <v/>
      </c>
    </row>
    <row r="82">
      <c r="B82" s="62"/>
      <c r="C82" s="14" t="b">
        <v>0</v>
      </c>
      <c r="D82" s="54"/>
      <c r="E82" s="55"/>
      <c r="F82" s="56"/>
      <c r="H82" s="57"/>
      <c r="I82" s="2"/>
      <c r="J82" s="34" t="str">
        <f>ifna(HYPERLINK("#gid=1523906944&amp;range="&amp;REPLACE(REPLACE(Address(CELL("row",VLOOKUP($H82,Quest_Tracker!$A$2:$B$900,2,FALSE)),CELL("col",VLOOKUP($H82,Quest_Tracker!$A$2:$B$900,2,FALSE))),1,1,""),2,1,""),VLOOKUP($H82,Quest_Tracker!$A$2:$B$900,2,FALSE)))</f>
        <v/>
      </c>
      <c r="K82" s="59" t="str">
        <f>ifna(VLOOKUP($H82,Quest_Tracker!$A$2:$I$900,9,FALSE))</f>
        <v/>
      </c>
      <c r="L82" s="59" t="str">
        <f>ifna(VLOOKUP($H82,Quest_Tracker!$A$2:$I$900,3,FALSE))</f>
        <v/>
      </c>
      <c r="M82" s="60" t="str">
        <f>ifna(VLOOKUP($H82,Quest_Tracker!$A$2:$I$900,4,FALSE))</f>
        <v/>
      </c>
    </row>
    <row r="83">
      <c r="B83" s="62"/>
      <c r="C83" s="14" t="b">
        <v>0</v>
      </c>
      <c r="D83" s="54"/>
      <c r="E83" s="55"/>
      <c r="F83" s="56"/>
      <c r="H83" s="57"/>
      <c r="I83" s="2"/>
      <c r="J83" s="34" t="str">
        <f>ifna(HYPERLINK("#gid=1523906944&amp;range="&amp;REPLACE(REPLACE(Address(CELL("row",VLOOKUP($H83,Quest_Tracker!$A$2:$B$900,2,FALSE)),CELL("col",VLOOKUP($H83,Quest_Tracker!$A$2:$B$900,2,FALSE))),1,1,""),2,1,""),VLOOKUP($H83,Quest_Tracker!$A$2:$B$900,2,FALSE)))</f>
        <v/>
      </c>
      <c r="K83" s="59" t="str">
        <f>ifna(VLOOKUP($H83,Quest_Tracker!$A$2:$I$900,9,FALSE))</f>
        <v/>
      </c>
      <c r="L83" s="59" t="str">
        <f>ifna(VLOOKUP($H83,Quest_Tracker!$A$2:$I$900,3,FALSE))</f>
        <v/>
      </c>
      <c r="M83" s="60" t="str">
        <f>ifna(VLOOKUP($H83,Quest_Tracker!$A$2:$I$900,4,FALSE))</f>
        <v/>
      </c>
    </row>
    <row r="84">
      <c r="B84" s="62"/>
      <c r="C84" s="14" t="b">
        <v>0</v>
      </c>
      <c r="D84" s="54"/>
      <c r="E84" s="55"/>
      <c r="F84" s="56"/>
      <c r="H84" s="57"/>
      <c r="I84" s="2"/>
      <c r="J84" s="34" t="str">
        <f>ifna(HYPERLINK("#gid=1523906944&amp;range="&amp;REPLACE(REPLACE(Address(CELL("row",VLOOKUP($H84,Quest_Tracker!$A$2:$B$900,2,FALSE)),CELL("col",VLOOKUP($H84,Quest_Tracker!$A$2:$B$900,2,FALSE))),1,1,""),2,1,""),VLOOKUP($H84,Quest_Tracker!$A$2:$B$900,2,FALSE)))</f>
        <v/>
      </c>
      <c r="K84" s="59" t="str">
        <f>ifna(VLOOKUP($H84,Quest_Tracker!$A$2:$I$900,9,FALSE))</f>
        <v/>
      </c>
      <c r="L84" s="59" t="str">
        <f>ifna(VLOOKUP($H84,Quest_Tracker!$A$2:$I$900,3,FALSE))</f>
        <v/>
      </c>
      <c r="M84" s="60" t="str">
        <f>ifna(VLOOKUP($H84,Quest_Tracker!$A$2:$I$900,4,FALSE))</f>
        <v/>
      </c>
    </row>
    <row r="85">
      <c r="B85" s="62"/>
      <c r="C85" s="14" t="b">
        <v>0</v>
      </c>
      <c r="D85" s="54"/>
      <c r="E85" s="55"/>
      <c r="F85" s="56"/>
      <c r="H85" s="57"/>
      <c r="I85" s="2"/>
      <c r="J85" s="34" t="str">
        <f>ifna(HYPERLINK("#gid=1523906944&amp;range="&amp;REPLACE(REPLACE(Address(CELL("row",VLOOKUP($H85,Quest_Tracker!$A$2:$B$900,2,FALSE)),CELL("col",VLOOKUP($H85,Quest_Tracker!$A$2:$B$900,2,FALSE))),1,1,""),2,1,""),VLOOKUP($H85,Quest_Tracker!$A$2:$B$900,2,FALSE)))</f>
        <v/>
      </c>
      <c r="K85" s="59" t="str">
        <f>ifna(VLOOKUP($H85,Quest_Tracker!$A$2:$I$900,9,FALSE))</f>
        <v/>
      </c>
      <c r="L85" s="59" t="str">
        <f>ifna(VLOOKUP($H85,Quest_Tracker!$A$2:$I$900,3,FALSE))</f>
        <v/>
      </c>
      <c r="M85" s="60" t="str">
        <f>ifna(VLOOKUP($H85,Quest_Tracker!$A$2:$I$900,4,FALSE))</f>
        <v/>
      </c>
    </row>
    <row r="86">
      <c r="B86" s="62"/>
      <c r="C86" s="14" t="b">
        <v>0</v>
      </c>
      <c r="D86" s="54"/>
      <c r="E86" s="55"/>
      <c r="F86" s="56"/>
      <c r="H86" s="57"/>
      <c r="I86" s="2"/>
      <c r="J86" s="34" t="str">
        <f>ifna(HYPERLINK("#gid=1523906944&amp;range="&amp;REPLACE(REPLACE(Address(CELL("row",VLOOKUP($H86,Quest_Tracker!$A$2:$B$900,2,FALSE)),CELL("col",VLOOKUP($H86,Quest_Tracker!$A$2:$B$900,2,FALSE))),1,1,""),2,1,""),VLOOKUP($H86,Quest_Tracker!$A$2:$B$900,2,FALSE)))</f>
        <v/>
      </c>
      <c r="K86" s="59" t="str">
        <f>ifna(VLOOKUP($H86,Quest_Tracker!$A$2:$I$900,9,FALSE))</f>
        <v/>
      </c>
      <c r="L86" s="59" t="str">
        <f>ifna(VLOOKUP($H86,Quest_Tracker!$A$2:$I$900,3,FALSE))</f>
        <v/>
      </c>
      <c r="M86" s="60" t="str">
        <f>ifna(VLOOKUP($H86,Quest_Tracker!$A$2:$I$900,4,FALSE))</f>
        <v/>
      </c>
    </row>
    <row r="87">
      <c r="B87" s="62"/>
      <c r="C87" s="14" t="b">
        <v>0</v>
      </c>
      <c r="D87" s="54"/>
      <c r="E87" s="55"/>
      <c r="F87" s="56"/>
      <c r="H87" s="57"/>
      <c r="I87" s="2"/>
      <c r="J87" s="34" t="str">
        <f>ifna(HYPERLINK("#gid=1523906944&amp;range="&amp;REPLACE(REPLACE(Address(CELL("row",VLOOKUP($H87,Quest_Tracker!$A$2:$B$900,2,FALSE)),CELL("col",VLOOKUP($H87,Quest_Tracker!$A$2:$B$900,2,FALSE))),1,1,""),2,1,""),VLOOKUP($H87,Quest_Tracker!$A$2:$B$900,2,FALSE)))</f>
        <v/>
      </c>
      <c r="K87" s="59" t="str">
        <f>ifna(VLOOKUP($H87,Quest_Tracker!$A$2:$I$900,9,FALSE))</f>
        <v/>
      </c>
      <c r="L87" s="59" t="str">
        <f>ifna(VLOOKUP($H87,Quest_Tracker!$A$2:$I$900,3,FALSE))</f>
        <v/>
      </c>
      <c r="M87" s="60" t="str">
        <f>ifna(VLOOKUP($H87,Quest_Tracker!$A$2:$I$900,4,FALSE))</f>
        <v/>
      </c>
    </row>
    <row r="88">
      <c r="B88" s="62"/>
      <c r="C88" s="14" t="b">
        <v>0</v>
      </c>
      <c r="D88" s="54"/>
      <c r="E88" s="55"/>
      <c r="F88" s="56"/>
      <c r="H88" s="57"/>
      <c r="I88" s="2"/>
      <c r="J88" s="34" t="str">
        <f>ifna(HYPERLINK("#gid=1523906944&amp;range="&amp;REPLACE(REPLACE(Address(CELL("row",VLOOKUP($H88,Quest_Tracker!$A$2:$B$900,2,FALSE)),CELL("col",VLOOKUP($H88,Quest_Tracker!$A$2:$B$900,2,FALSE))),1,1,""),2,1,""),VLOOKUP($H88,Quest_Tracker!$A$2:$B$900,2,FALSE)))</f>
        <v/>
      </c>
      <c r="K88" s="59" t="str">
        <f>ifna(VLOOKUP($H88,Quest_Tracker!$A$2:$I$900,9,FALSE))</f>
        <v/>
      </c>
      <c r="L88" s="59" t="str">
        <f>ifna(VLOOKUP($H88,Quest_Tracker!$A$2:$I$900,3,FALSE))</f>
        <v/>
      </c>
      <c r="M88" s="60" t="str">
        <f>ifna(VLOOKUP($H88,Quest_Tracker!$A$2:$I$900,4,FALSE))</f>
        <v/>
      </c>
    </row>
    <row r="89">
      <c r="B89" s="62"/>
      <c r="C89" s="14" t="b">
        <v>0</v>
      </c>
      <c r="D89" s="54"/>
      <c r="E89" s="55"/>
      <c r="F89" s="56"/>
      <c r="H89" s="57"/>
      <c r="I89" s="2"/>
      <c r="J89" s="34" t="str">
        <f>ifna(HYPERLINK("#gid=1523906944&amp;range="&amp;REPLACE(REPLACE(Address(CELL("row",VLOOKUP($H89,Quest_Tracker!$A$2:$B$900,2,FALSE)),CELL("col",VLOOKUP($H89,Quest_Tracker!$A$2:$B$900,2,FALSE))),1,1,""),2,1,""),VLOOKUP($H89,Quest_Tracker!$A$2:$B$900,2,FALSE)))</f>
        <v/>
      </c>
      <c r="K89" s="59" t="str">
        <f>ifna(VLOOKUP($H89,Quest_Tracker!$A$2:$I$900,9,FALSE))</f>
        <v/>
      </c>
      <c r="L89" s="59" t="str">
        <f>ifna(VLOOKUP($H89,Quest_Tracker!$A$2:$I$900,3,FALSE))</f>
        <v/>
      </c>
      <c r="M89" s="60" t="str">
        <f>ifna(VLOOKUP($H89,Quest_Tracker!$A$2:$I$900,4,FALSE))</f>
        <v/>
      </c>
    </row>
    <row r="90">
      <c r="B90" s="62"/>
      <c r="C90" s="14" t="b">
        <v>0</v>
      </c>
      <c r="D90" s="54"/>
      <c r="E90" s="55"/>
      <c r="F90" s="56"/>
      <c r="H90" s="57"/>
      <c r="I90" s="2"/>
      <c r="J90" s="34" t="str">
        <f>ifna(HYPERLINK("#gid=1523906944&amp;range="&amp;REPLACE(REPLACE(Address(CELL("row",VLOOKUP($H90,Quest_Tracker!$A$2:$B$900,2,FALSE)),CELL("col",VLOOKUP($H90,Quest_Tracker!$A$2:$B$900,2,FALSE))),1,1,""),2,1,""),VLOOKUP($H90,Quest_Tracker!$A$2:$B$900,2,FALSE)))</f>
        <v/>
      </c>
      <c r="K90" s="59" t="str">
        <f>ifna(VLOOKUP($H90,Quest_Tracker!$A$2:$I$900,9,FALSE))</f>
        <v/>
      </c>
      <c r="L90" s="59" t="str">
        <f>ifna(VLOOKUP($H90,Quest_Tracker!$A$2:$I$900,3,FALSE))</f>
        <v/>
      </c>
      <c r="M90" s="60" t="str">
        <f>ifna(VLOOKUP($H90,Quest_Tracker!$A$2:$I$900,4,FALSE))</f>
        <v/>
      </c>
    </row>
    <row r="91">
      <c r="B91" s="62"/>
      <c r="C91" s="14" t="b">
        <v>0</v>
      </c>
      <c r="D91" s="54"/>
      <c r="E91" s="55"/>
      <c r="F91" s="56"/>
      <c r="H91" s="57"/>
      <c r="I91" s="2"/>
      <c r="J91" s="34" t="str">
        <f>ifna(HYPERLINK("#gid=1523906944&amp;range="&amp;REPLACE(REPLACE(Address(CELL("row",VLOOKUP($H91,Quest_Tracker!$A$2:$B$900,2,FALSE)),CELL("col",VLOOKUP($H91,Quest_Tracker!$A$2:$B$900,2,FALSE))),1,1,""),2,1,""),VLOOKUP($H91,Quest_Tracker!$A$2:$B$900,2,FALSE)))</f>
        <v/>
      </c>
      <c r="K91" s="59" t="str">
        <f>ifna(VLOOKUP($H91,Quest_Tracker!$A$2:$I$900,9,FALSE))</f>
        <v/>
      </c>
      <c r="L91" s="59" t="str">
        <f>ifna(VLOOKUP($H91,Quest_Tracker!$A$2:$I$900,3,FALSE))</f>
        <v/>
      </c>
      <c r="M91" s="60" t="str">
        <f>ifna(VLOOKUP($H91,Quest_Tracker!$A$2:$I$900,4,FALSE))</f>
        <v/>
      </c>
    </row>
    <row r="92">
      <c r="B92" s="62"/>
      <c r="C92" s="14" t="b">
        <v>0</v>
      </c>
      <c r="D92" s="54"/>
      <c r="E92" s="55"/>
      <c r="F92" s="56"/>
      <c r="H92" s="57"/>
      <c r="I92" s="2"/>
      <c r="J92" s="34" t="str">
        <f>ifna(HYPERLINK("#gid=1523906944&amp;range="&amp;REPLACE(REPLACE(Address(CELL("row",VLOOKUP($H92,Quest_Tracker!$A$2:$B$900,2,FALSE)),CELL("col",VLOOKUP($H92,Quest_Tracker!$A$2:$B$900,2,FALSE))),1,1,""),2,1,""),VLOOKUP($H92,Quest_Tracker!$A$2:$B$900,2,FALSE)))</f>
        <v/>
      </c>
      <c r="K92" s="59" t="str">
        <f>ifna(VLOOKUP($H92,Quest_Tracker!$A$2:$I$900,9,FALSE))</f>
        <v/>
      </c>
      <c r="L92" s="59" t="str">
        <f>ifna(VLOOKUP($H92,Quest_Tracker!$A$2:$I$900,3,FALSE))</f>
        <v/>
      </c>
      <c r="M92" s="60" t="str">
        <f>ifna(VLOOKUP($H92,Quest_Tracker!$A$2:$I$900,4,FALSE))</f>
        <v/>
      </c>
    </row>
    <row r="93">
      <c r="B93" s="62"/>
      <c r="C93" s="14" t="b">
        <v>0</v>
      </c>
      <c r="D93" s="54"/>
      <c r="E93" s="55"/>
      <c r="F93" s="56"/>
      <c r="H93" s="57"/>
      <c r="I93" s="2"/>
      <c r="J93" s="34" t="str">
        <f>ifna(HYPERLINK("#gid=1523906944&amp;range="&amp;REPLACE(REPLACE(Address(CELL("row",VLOOKUP($H93,Quest_Tracker!$A$2:$B$900,2,FALSE)),CELL("col",VLOOKUP($H93,Quest_Tracker!$A$2:$B$900,2,FALSE))),1,1,""),2,1,""),VLOOKUP($H93,Quest_Tracker!$A$2:$B$900,2,FALSE)))</f>
        <v/>
      </c>
      <c r="K93" s="59" t="str">
        <f>ifna(VLOOKUP($H93,Quest_Tracker!$A$2:$I$900,9,FALSE))</f>
        <v/>
      </c>
      <c r="L93" s="59" t="str">
        <f>ifna(VLOOKUP($H93,Quest_Tracker!$A$2:$I$900,3,FALSE))</f>
        <v/>
      </c>
      <c r="M93" s="60" t="str">
        <f>ifna(VLOOKUP($H93,Quest_Tracker!$A$2:$I$900,4,FALSE))</f>
        <v/>
      </c>
    </row>
    <row r="94">
      <c r="B94" s="62"/>
      <c r="C94" s="14" t="b">
        <v>0</v>
      </c>
      <c r="D94" s="54"/>
      <c r="E94" s="55"/>
      <c r="F94" s="56"/>
      <c r="H94" s="57"/>
      <c r="I94" s="2"/>
      <c r="J94" s="34" t="str">
        <f>ifna(HYPERLINK("#gid=1523906944&amp;range="&amp;REPLACE(REPLACE(Address(CELL("row",VLOOKUP($H94,Quest_Tracker!$A$2:$B$900,2,FALSE)),CELL("col",VLOOKUP($H94,Quest_Tracker!$A$2:$B$900,2,FALSE))),1,1,""),2,1,""),VLOOKUP($H94,Quest_Tracker!$A$2:$B$900,2,FALSE)))</f>
        <v/>
      </c>
      <c r="K94" s="59" t="str">
        <f>ifna(VLOOKUP($H94,Quest_Tracker!$A$2:$I$900,9,FALSE))</f>
        <v/>
      </c>
      <c r="L94" s="59" t="str">
        <f>ifna(VLOOKUP($H94,Quest_Tracker!$A$2:$I$900,3,FALSE))</f>
        <v/>
      </c>
      <c r="M94" s="60" t="str">
        <f>ifna(VLOOKUP($H94,Quest_Tracker!$A$2:$I$900,4,FALSE))</f>
        <v/>
      </c>
    </row>
    <row r="95">
      <c r="B95" s="62"/>
      <c r="C95" s="14" t="b">
        <v>0</v>
      </c>
      <c r="D95" s="54"/>
      <c r="E95" s="55"/>
      <c r="F95" s="56"/>
      <c r="H95" s="57"/>
      <c r="I95" s="2"/>
      <c r="J95" s="34" t="str">
        <f>ifna(HYPERLINK("#gid=1523906944&amp;range="&amp;REPLACE(REPLACE(Address(CELL("row",VLOOKUP($H95,Quest_Tracker!$A$2:$B$900,2,FALSE)),CELL("col",VLOOKUP($H95,Quest_Tracker!$A$2:$B$900,2,FALSE))),1,1,""),2,1,""),VLOOKUP($H95,Quest_Tracker!$A$2:$B$900,2,FALSE)))</f>
        <v/>
      </c>
      <c r="K95" s="59" t="str">
        <f>ifna(VLOOKUP($H95,Quest_Tracker!$A$2:$I$900,9,FALSE))</f>
        <v/>
      </c>
      <c r="L95" s="59" t="str">
        <f>ifna(VLOOKUP($H95,Quest_Tracker!$A$2:$I$900,3,FALSE))</f>
        <v/>
      </c>
      <c r="M95" s="60" t="str">
        <f>ifna(VLOOKUP($H95,Quest_Tracker!$A$2:$I$900,4,FALSE))</f>
        <v/>
      </c>
    </row>
    <row r="96">
      <c r="B96" s="62"/>
      <c r="C96" s="14" t="b">
        <v>0</v>
      </c>
      <c r="D96" s="54"/>
      <c r="E96" s="55"/>
      <c r="F96" s="56"/>
      <c r="H96" s="57"/>
      <c r="I96" s="2"/>
      <c r="J96" s="34" t="str">
        <f>ifna(HYPERLINK("#gid=1523906944&amp;range="&amp;REPLACE(REPLACE(Address(CELL("row",VLOOKUP($H96,Quest_Tracker!$A$2:$B$900,2,FALSE)),CELL("col",VLOOKUP($H96,Quest_Tracker!$A$2:$B$900,2,FALSE))),1,1,""),2,1,""),VLOOKUP($H96,Quest_Tracker!$A$2:$B$900,2,FALSE)))</f>
        <v/>
      </c>
      <c r="K96" s="59" t="str">
        <f>ifna(VLOOKUP($H96,Quest_Tracker!$A$2:$I$900,9,FALSE))</f>
        <v/>
      </c>
      <c r="L96" s="59" t="str">
        <f>ifna(VLOOKUP($H96,Quest_Tracker!$A$2:$I$900,3,FALSE))</f>
        <v/>
      </c>
      <c r="M96" s="60" t="str">
        <f>ifna(VLOOKUP($H96,Quest_Tracker!$A$2:$I$900,4,FALSE))</f>
        <v/>
      </c>
    </row>
    <row r="97">
      <c r="B97" s="62"/>
      <c r="C97" s="14" t="b">
        <v>0</v>
      </c>
      <c r="D97" s="54"/>
      <c r="E97" s="55"/>
      <c r="F97" s="56"/>
      <c r="H97" s="57"/>
      <c r="I97" s="2"/>
      <c r="J97" s="34" t="str">
        <f>ifna(HYPERLINK("#gid=1523906944&amp;range="&amp;REPLACE(REPLACE(Address(CELL("row",VLOOKUP($H97,Quest_Tracker!$A$2:$B$900,2,FALSE)),CELL("col",VLOOKUP($H97,Quest_Tracker!$A$2:$B$900,2,FALSE))),1,1,""),2,1,""),VLOOKUP($H97,Quest_Tracker!$A$2:$B$900,2,FALSE)))</f>
        <v/>
      </c>
      <c r="K97" s="59" t="str">
        <f>ifna(VLOOKUP($H97,Quest_Tracker!$A$2:$I$900,9,FALSE))</f>
        <v/>
      </c>
      <c r="L97" s="59" t="str">
        <f>ifna(VLOOKUP($H97,Quest_Tracker!$A$2:$I$900,3,FALSE))</f>
        <v/>
      </c>
      <c r="M97" s="60" t="str">
        <f>ifna(VLOOKUP($H97,Quest_Tracker!$A$2:$I$900,4,FALSE))</f>
        <v/>
      </c>
    </row>
    <row r="98">
      <c r="B98" s="62"/>
      <c r="C98" s="14" t="b">
        <v>0</v>
      </c>
      <c r="D98" s="54"/>
      <c r="E98" s="55"/>
      <c r="F98" s="56"/>
      <c r="H98" s="57"/>
      <c r="I98" s="2"/>
      <c r="J98" s="34" t="str">
        <f>ifna(HYPERLINK("#gid=1523906944&amp;range="&amp;REPLACE(REPLACE(Address(CELL("row",VLOOKUP($H98,Quest_Tracker!$A$2:$B$900,2,FALSE)),CELL("col",VLOOKUP($H98,Quest_Tracker!$A$2:$B$900,2,FALSE))),1,1,""),2,1,""),VLOOKUP($H98,Quest_Tracker!$A$2:$B$900,2,FALSE)))</f>
        <v/>
      </c>
      <c r="K98" s="59" t="str">
        <f>ifna(VLOOKUP($H98,Quest_Tracker!$A$2:$I$900,9,FALSE))</f>
        <v/>
      </c>
      <c r="L98" s="59" t="str">
        <f>ifna(VLOOKUP($H98,Quest_Tracker!$A$2:$I$900,3,FALSE))</f>
        <v/>
      </c>
      <c r="M98" s="60" t="str">
        <f>ifna(VLOOKUP($H98,Quest_Tracker!$A$2:$I$900,4,FALSE))</f>
        <v/>
      </c>
    </row>
    <row r="99">
      <c r="B99" s="62"/>
      <c r="C99" s="14" t="b">
        <v>0</v>
      </c>
      <c r="D99" s="54"/>
      <c r="E99" s="55"/>
      <c r="F99" s="56"/>
      <c r="H99" s="57"/>
      <c r="I99" s="2"/>
      <c r="J99" s="34" t="str">
        <f>ifna(HYPERLINK("#gid=1523906944&amp;range="&amp;REPLACE(REPLACE(Address(CELL("row",VLOOKUP($H99,Quest_Tracker!$A$2:$B$900,2,FALSE)),CELL("col",VLOOKUP($H99,Quest_Tracker!$A$2:$B$900,2,FALSE))),1,1,""),2,1,""),VLOOKUP($H99,Quest_Tracker!$A$2:$B$900,2,FALSE)))</f>
        <v/>
      </c>
      <c r="K99" s="59" t="str">
        <f>ifna(VLOOKUP($H99,Quest_Tracker!$A$2:$I$900,9,FALSE))</f>
        <v/>
      </c>
      <c r="L99" s="59" t="str">
        <f>ifna(VLOOKUP($H99,Quest_Tracker!$A$2:$I$900,3,FALSE))</f>
        <v/>
      </c>
      <c r="M99" s="60" t="str">
        <f>ifna(VLOOKUP($H99,Quest_Tracker!$A$2:$I$900,4,FALSE))</f>
        <v/>
      </c>
    </row>
    <row r="100">
      <c r="B100" s="62"/>
      <c r="C100" s="14" t="b">
        <v>0</v>
      </c>
      <c r="D100" s="54"/>
      <c r="E100" s="55"/>
      <c r="F100" s="56"/>
      <c r="H100" s="57"/>
      <c r="I100" s="2"/>
      <c r="J100" s="34" t="str">
        <f>ifna(HYPERLINK("#gid=1523906944&amp;range="&amp;REPLACE(REPLACE(Address(CELL("row",VLOOKUP($H100,Quest_Tracker!$A$2:$B$900,2,FALSE)),CELL("col",VLOOKUP($H100,Quest_Tracker!$A$2:$B$900,2,FALSE))),1,1,""),2,1,""),VLOOKUP($H100,Quest_Tracker!$A$2:$B$900,2,FALSE)))</f>
        <v/>
      </c>
      <c r="K100" s="59" t="str">
        <f>ifna(VLOOKUP($H100,Quest_Tracker!$A$2:$I$900,9,FALSE))</f>
        <v/>
      </c>
      <c r="L100" s="59" t="str">
        <f>ifna(VLOOKUP($H100,Quest_Tracker!$A$2:$I$900,3,FALSE))</f>
        <v/>
      </c>
      <c r="M100" s="60" t="str">
        <f>ifna(VLOOKUP($H100,Quest_Tracker!$A$2:$I$900,4,FALSE))</f>
        <v/>
      </c>
    </row>
    <row r="101">
      <c r="B101" s="62"/>
      <c r="C101" s="14" t="b">
        <v>0</v>
      </c>
      <c r="D101" s="54"/>
      <c r="E101" s="55"/>
      <c r="F101" s="56"/>
      <c r="H101" s="57"/>
      <c r="I101" s="2"/>
      <c r="J101" s="34" t="str">
        <f>ifna(HYPERLINK("#gid=1523906944&amp;range="&amp;REPLACE(REPLACE(Address(CELL("row",VLOOKUP($H101,Quest_Tracker!$A$2:$B$900,2,FALSE)),CELL("col",VLOOKUP($H101,Quest_Tracker!$A$2:$B$900,2,FALSE))),1,1,""),2,1,""),VLOOKUP($H101,Quest_Tracker!$A$2:$B$900,2,FALSE)))</f>
        <v/>
      </c>
      <c r="K101" s="59" t="str">
        <f>ifna(VLOOKUP($H101,Quest_Tracker!$A$2:$I$900,9,FALSE))</f>
        <v/>
      </c>
      <c r="L101" s="59" t="str">
        <f>ifna(VLOOKUP($H101,Quest_Tracker!$A$2:$I$900,3,FALSE))</f>
        <v/>
      </c>
      <c r="M101" s="60" t="str">
        <f>ifna(VLOOKUP($H101,Quest_Tracker!$A$2:$I$900,4,FALSE))</f>
        <v/>
      </c>
    </row>
    <row r="102">
      <c r="B102" s="62"/>
      <c r="C102" s="14" t="b">
        <v>0</v>
      </c>
      <c r="D102" s="54"/>
      <c r="E102" s="55"/>
      <c r="F102" s="56"/>
      <c r="H102" s="57"/>
      <c r="I102" s="2"/>
      <c r="J102" s="34" t="str">
        <f>ifna(HYPERLINK("#gid=1523906944&amp;range="&amp;REPLACE(REPLACE(Address(CELL("row",VLOOKUP($H102,Quest_Tracker!$A$2:$B$900,2,FALSE)),CELL("col",VLOOKUP($H102,Quest_Tracker!$A$2:$B$900,2,FALSE))),1,1,""),2,1,""),VLOOKUP($H102,Quest_Tracker!$A$2:$B$900,2,FALSE)))</f>
        <v/>
      </c>
      <c r="K102" s="59" t="str">
        <f>ifna(VLOOKUP($H102,Quest_Tracker!$A$2:$I$900,9,FALSE))</f>
        <v/>
      </c>
      <c r="L102" s="59" t="str">
        <f>ifna(VLOOKUP($H102,Quest_Tracker!$A$2:$I$900,3,FALSE))</f>
        <v/>
      </c>
      <c r="M102" s="60" t="str">
        <f>ifna(VLOOKUP($H102,Quest_Tracker!$A$2:$I$900,4,FALSE))</f>
        <v/>
      </c>
    </row>
    <row r="103">
      <c r="B103" s="62"/>
      <c r="C103" s="14" t="b">
        <v>0</v>
      </c>
      <c r="D103" s="54"/>
      <c r="E103" s="55"/>
      <c r="F103" s="56"/>
      <c r="H103" s="57"/>
      <c r="I103" s="2"/>
      <c r="J103" s="34" t="str">
        <f>ifna(HYPERLINK("#gid=1523906944&amp;range="&amp;REPLACE(REPLACE(Address(CELL("row",VLOOKUP($H103,Quest_Tracker!$A$2:$B$900,2,FALSE)),CELL("col",VLOOKUP($H103,Quest_Tracker!$A$2:$B$900,2,FALSE))),1,1,""),2,1,""),VLOOKUP($H103,Quest_Tracker!$A$2:$B$900,2,FALSE)))</f>
        <v/>
      </c>
      <c r="K103" s="59" t="str">
        <f>ifna(VLOOKUP($H103,Quest_Tracker!$A$2:$I$900,9,FALSE))</f>
        <v/>
      </c>
      <c r="L103" s="59" t="str">
        <f>ifna(VLOOKUP($H103,Quest_Tracker!$A$2:$I$900,3,FALSE))</f>
        <v/>
      </c>
      <c r="M103" s="60" t="str">
        <f>ifna(VLOOKUP($H103,Quest_Tracker!$A$2:$I$900,4,FALSE))</f>
        <v/>
      </c>
    </row>
    <row r="104">
      <c r="B104" s="62"/>
      <c r="C104" s="14" t="b">
        <v>0</v>
      </c>
      <c r="D104" s="54"/>
      <c r="E104" s="55"/>
      <c r="F104" s="56"/>
      <c r="H104" s="57"/>
      <c r="I104" s="2"/>
      <c r="J104" s="34" t="str">
        <f>ifna(HYPERLINK("#gid=1523906944&amp;range="&amp;REPLACE(REPLACE(Address(CELL("row",VLOOKUP($H104,Quest_Tracker!$A$2:$B$900,2,FALSE)),CELL("col",VLOOKUP($H104,Quest_Tracker!$A$2:$B$900,2,FALSE))),1,1,""),2,1,""),VLOOKUP($H104,Quest_Tracker!$A$2:$B$900,2,FALSE)))</f>
        <v/>
      </c>
      <c r="K104" s="59" t="str">
        <f>ifna(VLOOKUP($H104,Quest_Tracker!$A$2:$I$900,9,FALSE))</f>
        <v/>
      </c>
      <c r="L104" s="59" t="str">
        <f>ifna(VLOOKUP($H104,Quest_Tracker!$A$2:$I$900,3,FALSE))</f>
        <v/>
      </c>
      <c r="M104" s="60" t="str">
        <f>ifna(VLOOKUP($H104,Quest_Tracker!$A$2:$I$900,4,FALSE))</f>
        <v/>
      </c>
    </row>
    <row r="105">
      <c r="B105" s="62"/>
      <c r="C105" s="14" t="b">
        <v>0</v>
      </c>
      <c r="D105" s="54"/>
      <c r="E105" s="55"/>
      <c r="F105" s="56"/>
      <c r="H105" s="57"/>
      <c r="I105" s="2"/>
      <c r="J105" s="34" t="str">
        <f>ifna(HYPERLINK("#gid=1523906944&amp;range="&amp;REPLACE(REPLACE(Address(CELL("row",VLOOKUP($H105,Quest_Tracker!$A$2:$B$900,2,FALSE)),CELL("col",VLOOKUP($H105,Quest_Tracker!$A$2:$B$900,2,FALSE))),1,1,""),2,1,""),VLOOKUP($H105,Quest_Tracker!$A$2:$B$900,2,FALSE)))</f>
        <v/>
      </c>
      <c r="K105" s="59" t="str">
        <f>ifna(VLOOKUP($H105,Quest_Tracker!$A$2:$I$900,9,FALSE))</f>
        <v/>
      </c>
      <c r="L105" s="59" t="str">
        <f>ifna(VLOOKUP($H105,Quest_Tracker!$A$2:$I$900,3,FALSE))</f>
        <v/>
      </c>
      <c r="M105" s="60" t="str">
        <f>ifna(VLOOKUP($H105,Quest_Tracker!$A$2:$I$900,4,FALSE))</f>
        <v/>
      </c>
    </row>
    <row r="106">
      <c r="B106" s="62"/>
      <c r="C106" s="14" t="b">
        <v>0</v>
      </c>
      <c r="D106" s="54"/>
      <c r="E106" s="55"/>
      <c r="F106" s="56"/>
      <c r="H106" s="57"/>
      <c r="I106" s="2"/>
      <c r="J106" s="34" t="str">
        <f>ifna(HYPERLINK("#gid=1523906944&amp;range="&amp;REPLACE(REPLACE(Address(CELL("row",VLOOKUP($H106,Quest_Tracker!$A$2:$B$900,2,FALSE)),CELL("col",VLOOKUP($H106,Quest_Tracker!$A$2:$B$900,2,FALSE))),1,1,""),2,1,""),VLOOKUP($H106,Quest_Tracker!$A$2:$B$900,2,FALSE)))</f>
        <v/>
      </c>
      <c r="K106" s="59" t="str">
        <f>ifna(VLOOKUP($H106,Quest_Tracker!$A$2:$I$900,9,FALSE))</f>
        <v/>
      </c>
      <c r="L106" s="59" t="str">
        <f>ifna(VLOOKUP($H106,Quest_Tracker!$A$2:$I$900,3,FALSE))</f>
        <v/>
      </c>
      <c r="M106" s="60" t="str">
        <f>ifna(VLOOKUP($H106,Quest_Tracker!$A$2:$I$900,4,FALSE))</f>
        <v/>
      </c>
    </row>
    <row r="107">
      <c r="B107" s="62"/>
      <c r="C107" s="14" t="b">
        <v>0</v>
      </c>
      <c r="D107" s="54"/>
      <c r="E107" s="55"/>
      <c r="F107" s="56"/>
      <c r="H107" s="57"/>
      <c r="I107" s="2"/>
      <c r="J107" s="34" t="str">
        <f>ifna(HYPERLINK("#gid=1523906944&amp;range="&amp;REPLACE(REPLACE(Address(CELL("row",VLOOKUP($H107,Quest_Tracker!$A$2:$B$900,2,FALSE)),CELL("col",VLOOKUP($H107,Quest_Tracker!$A$2:$B$900,2,FALSE))),1,1,""),2,1,""),VLOOKUP($H107,Quest_Tracker!$A$2:$B$900,2,FALSE)))</f>
        <v/>
      </c>
      <c r="K107" s="59" t="str">
        <f>ifna(VLOOKUP($H107,Quest_Tracker!$A$2:$I$900,9,FALSE))</f>
        <v/>
      </c>
      <c r="L107" s="59" t="str">
        <f>ifna(VLOOKUP($H107,Quest_Tracker!$A$2:$I$900,3,FALSE))</f>
        <v/>
      </c>
      <c r="M107" s="60" t="str">
        <f>ifna(VLOOKUP($H107,Quest_Tracker!$A$2:$I$900,4,FALSE))</f>
        <v/>
      </c>
    </row>
    <row r="108">
      <c r="B108" s="62"/>
      <c r="C108" s="14" t="b">
        <v>0</v>
      </c>
      <c r="D108" s="54"/>
      <c r="E108" s="55"/>
      <c r="F108" s="56"/>
      <c r="H108" s="57"/>
      <c r="I108" s="2"/>
      <c r="J108" s="34" t="str">
        <f>ifna(HYPERLINK("#gid=1523906944&amp;range="&amp;REPLACE(REPLACE(Address(CELL("row",VLOOKUP($H108,Quest_Tracker!$A$2:$B$900,2,FALSE)),CELL("col",VLOOKUP($H108,Quest_Tracker!$A$2:$B$900,2,FALSE))),1,1,""),2,1,""),VLOOKUP($H108,Quest_Tracker!$A$2:$B$900,2,FALSE)))</f>
        <v/>
      </c>
      <c r="K108" s="59" t="str">
        <f>ifna(VLOOKUP($H108,Quest_Tracker!$A$2:$I$900,9,FALSE))</f>
        <v/>
      </c>
      <c r="L108" s="59" t="str">
        <f>ifna(VLOOKUP($H108,Quest_Tracker!$A$2:$I$900,3,FALSE))</f>
        <v/>
      </c>
      <c r="M108" s="60" t="str">
        <f>ifna(VLOOKUP($H108,Quest_Tracker!$A$2:$I$900,4,FALSE))</f>
        <v/>
      </c>
    </row>
    <row r="109">
      <c r="B109" s="62"/>
      <c r="C109" s="14" t="b">
        <v>0</v>
      </c>
      <c r="D109" s="54"/>
      <c r="E109" s="55"/>
      <c r="F109" s="56"/>
      <c r="H109" s="57"/>
      <c r="I109" s="2"/>
      <c r="J109" s="34" t="str">
        <f>ifna(HYPERLINK("#gid=1523906944&amp;range="&amp;REPLACE(REPLACE(Address(CELL("row",VLOOKUP($H109,Quest_Tracker!$A$2:$B$900,2,FALSE)),CELL("col",VLOOKUP($H109,Quest_Tracker!$A$2:$B$900,2,FALSE))),1,1,""),2,1,""),VLOOKUP($H109,Quest_Tracker!$A$2:$B$900,2,FALSE)))</f>
        <v/>
      </c>
      <c r="K109" s="59" t="str">
        <f>ifna(VLOOKUP($H109,Quest_Tracker!$A$2:$I$900,9,FALSE))</f>
        <v/>
      </c>
      <c r="L109" s="59" t="str">
        <f>ifna(VLOOKUP($H109,Quest_Tracker!$A$2:$I$900,3,FALSE))</f>
        <v/>
      </c>
      <c r="M109" s="60" t="str">
        <f>ifna(VLOOKUP($H109,Quest_Tracker!$A$2:$I$900,4,FALSE))</f>
        <v/>
      </c>
    </row>
    <row r="110">
      <c r="B110" s="62"/>
      <c r="C110" s="14" t="b">
        <v>0</v>
      </c>
      <c r="D110" s="54"/>
      <c r="E110" s="55"/>
      <c r="F110" s="56"/>
      <c r="H110" s="57"/>
      <c r="I110" s="2"/>
      <c r="J110" s="34" t="str">
        <f>ifna(HYPERLINK("#gid=1523906944&amp;range="&amp;REPLACE(REPLACE(Address(CELL("row",VLOOKUP($H110,Quest_Tracker!$A$2:$B$900,2,FALSE)),CELL("col",VLOOKUP($H110,Quest_Tracker!$A$2:$B$900,2,FALSE))),1,1,""),2,1,""),VLOOKUP($H110,Quest_Tracker!$A$2:$B$900,2,FALSE)))</f>
        <v/>
      </c>
      <c r="K110" s="59" t="str">
        <f>ifna(VLOOKUP($H110,Quest_Tracker!$A$2:$I$900,9,FALSE))</f>
        <v/>
      </c>
      <c r="L110" s="59" t="str">
        <f>ifna(VLOOKUP($H110,Quest_Tracker!$A$2:$I$900,3,FALSE))</f>
        <v/>
      </c>
      <c r="M110" s="60" t="str">
        <f>ifna(VLOOKUP($H110,Quest_Tracker!$A$2:$I$900,4,FALSE))</f>
        <v/>
      </c>
    </row>
    <row r="111">
      <c r="B111" s="62"/>
      <c r="C111" s="14" t="b">
        <v>0</v>
      </c>
      <c r="D111" s="54"/>
      <c r="E111" s="55"/>
      <c r="F111" s="56"/>
      <c r="H111" s="57"/>
      <c r="I111" s="2"/>
      <c r="J111" s="34" t="str">
        <f>ifna(HYPERLINK("#gid=1523906944&amp;range="&amp;REPLACE(REPLACE(Address(CELL("row",VLOOKUP($H111,Quest_Tracker!$A$2:$B$900,2,FALSE)),CELL("col",VLOOKUP($H111,Quest_Tracker!$A$2:$B$900,2,FALSE))),1,1,""),2,1,""),VLOOKUP($H111,Quest_Tracker!$A$2:$B$900,2,FALSE)))</f>
        <v/>
      </c>
      <c r="K111" s="59" t="str">
        <f>ifna(VLOOKUP($H111,Quest_Tracker!$A$2:$I$900,9,FALSE))</f>
        <v/>
      </c>
      <c r="L111" s="59" t="str">
        <f>ifna(VLOOKUP($H111,Quest_Tracker!$A$2:$I$900,3,FALSE))</f>
        <v/>
      </c>
      <c r="M111" s="60" t="str">
        <f>ifna(VLOOKUP($H111,Quest_Tracker!$A$2:$I$900,4,FALSE))</f>
        <v/>
      </c>
    </row>
    <row r="112">
      <c r="B112" s="62"/>
      <c r="C112" s="14" t="b">
        <v>0</v>
      </c>
      <c r="D112" s="54"/>
      <c r="E112" s="55"/>
      <c r="F112" s="56"/>
      <c r="H112" s="57"/>
      <c r="I112" s="2"/>
      <c r="J112" s="34" t="str">
        <f>ifna(HYPERLINK("#gid=1523906944&amp;range="&amp;REPLACE(REPLACE(Address(CELL("row",VLOOKUP($H112,Quest_Tracker!$A$2:$B$900,2,FALSE)),CELL("col",VLOOKUP($H112,Quest_Tracker!$A$2:$B$900,2,FALSE))),1,1,""),2,1,""),VLOOKUP($H112,Quest_Tracker!$A$2:$B$900,2,FALSE)))</f>
        <v/>
      </c>
      <c r="K112" s="59" t="str">
        <f>ifna(VLOOKUP($H112,Quest_Tracker!$A$2:$I$900,9,FALSE))</f>
        <v/>
      </c>
      <c r="L112" s="59" t="str">
        <f>ifna(VLOOKUP($H112,Quest_Tracker!$A$2:$I$900,3,FALSE))</f>
        <v/>
      </c>
      <c r="M112" s="60" t="str">
        <f>ifna(VLOOKUP($H112,Quest_Tracker!$A$2:$I$900,4,FALSE))</f>
        <v/>
      </c>
    </row>
    <row r="113">
      <c r="B113" s="62"/>
      <c r="C113" s="14" t="b">
        <v>0</v>
      </c>
      <c r="D113" s="54"/>
      <c r="E113" s="55"/>
      <c r="F113" s="56"/>
      <c r="H113" s="57"/>
      <c r="I113" s="2"/>
      <c r="J113" s="34" t="str">
        <f>ifna(HYPERLINK("#gid=1523906944&amp;range="&amp;REPLACE(REPLACE(Address(CELL("row",VLOOKUP($H113,Quest_Tracker!$A$2:$B$900,2,FALSE)),CELL("col",VLOOKUP($H113,Quest_Tracker!$A$2:$B$900,2,FALSE))),1,1,""),2,1,""),VLOOKUP($H113,Quest_Tracker!$A$2:$B$900,2,FALSE)))</f>
        <v/>
      </c>
      <c r="K113" s="59" t="str">
        <f>ifna(VLOOKUP($H113,Quest_Tracker!$A$2:$I$900,9,FALSE))</f>
        <v/>
      </c>
      <c r="L113" s="59" t="str">
        <f>ifna(VLOOKUP($H113,Quest_Tracker!$A$2:$I$900,3,FALSE))</f>
        <v/>
      </c>
      <c r="M113" s="60" t="str">
        <f>ifna(VLOOKUP($H113,Quest_Tracker!$A$2:$I$900,4,FALSE))</f>
        <v/>
      </c>
    </row>
    <row r="114">
      <c r="B114" s="62"/>
      <c r="C114" s="14" t="b">
        <v>0</v>
      </c>
      <c r="D114" s="54"/>
      <c r="E114" s="55"/>
      <c r="F114" s="56"/>
      <c r="H114" s="57"/>
      <c r="I114" s="2"/>
      <c r="J114" s="34" t="str">
        <f>ifna(HYPERLINK("#gid=1523906944&amp;range="&amp;REPLACE(REPLACE(Address(CELL("row",VLOOKUP($H114,Quest_Tracker!$A$2:$B$900,2,FALSE)),CELL("col",VLOOKUP($H114,Quest_Tracker!$A$2:$B$900,2,FALSE))),1,1,""),2,1,""),VLOOKUP($H114,Quest_Tracker!$A$2:$B$900,2,FALSE)))</f>
        <v/>
      </c>
      <c r="K114" s="59" t="str">
        <f>ifna(VLOOKUP($H114,Quest_Tracker!$A$2:$I$900,9,FALSE))</f>
        <v/>
      </c>
      <c r="L114" s="59" t="str">
        <f>ifna(VLOOKUP($H114,Quest_Tracker!$A$2:$I$900,3,FALSE))</f>
        <v/>
      </c>
      <c r="M114" s="60" t="str">
        <f>ifna(VLOOKUP($H114,Quest_Tracker!$A$2:$I$900,4,FALSE))</f>
        <v/>
      </c>
    </row>
    <row r="115">
      <c r="B115" s="62"/>
      <c r="C115" s="14" t="b">
        <v>0</v>
      </c>
      <c r="D115" s="54"/>
      <c r="E115" s="55"/>
      <c r="F115" s="56"/>
      <c r="H115" s="57"/>
      <c r="I115" s="2"/>
      <c r="J115" s="34" t="str">
        <f>ifna(HYPERLINK("#gid=1523906944&amp;range="&amp;REPLACE(REPLACE(Address(CELL("row",VLOOKUP($H115,Quest_Tracker!$A$2:$B$900,2,FALSE)),CELL("col",VLOOKUP($H115,Quest_Tracker!$A$2:$B$900,2,FALSE))),1,1,""),2,1,""),VLOOKUP($H115,Quest_Tracker!$A$2:$B$900,2,FALSE)))</f>
        <v/>
      </c>
      <c r="K115" s="59" t="str">
        <f>ifna(VLOOKUP($H115,Quest_Tracker!$A$2:$I$900,9,FALSE))</f>
        <v/>
      </c>
      <c r="L115" s="59" t="str">
        <f>ifna(VLOOKUP($H115,Quest_Tracker!$A$2:$I$900,3,FALSE))</f>
        <v/>
      </c>
      <c r="M115" s="60" t="str">
        <f>ifna(VLOOKUP($H115,Quest_Tracker!$A$2:$I$900,4,FALSE))</f>
        <v/>
      </c>
    </row>
    <row r="116">
      <c r="B116" s="62"/>
      <c r="C116" s="14" t="b">
        <v>0</v>
      </c>
      <c r="D116" s="54"/>
      <c r="E116" s="55"/>
      <c r="F116" s="56"/>
      <c r="H116" s="57"/>
      <c r="I116" s="2"/>
      <c r="J116" s="34" t="str">
        <f>ifna(HYPERLINK("#gid=1523906944&amp;range="&amp;REPLACE(REPLACE(Address(CELL("row",VLOOKUP($H116,Quest_Tracker!$A$2:$B$900,2,FALSE)),CELL("col",VLOOKUP($H116,Quest_Tracker!$A$2:$B$900,2,FALSE))),1,1,""),2,1,""),VLOOKUP($H116,Quest_Tracker!$A$2:$B$900,2,FALSE)))</f>
        <v/>
      </c>
      <c r="K116" s="59" t="str">
        <f>ifna(VLOOKUP($H116,Quest_Tracker!$A$2:$I$900,9,FALSE))</f>
        <v/>
      </c>
      <c r="L116" s="59" t="str">
        <f>ifna(VLOOKUP($H116,Quest_Tracker!$A$2:$I$900,3,FALSE))</f>
        <v/>
      </c>
      <c r="M116" s="60" t="str">
        <f>ifna(VLOOKUP($H116,Quest_Tracker!$A$2:$I$900,4,FALSE))</f>
        <v/>
      </c>
    </row>
    <row r="117">
      <c r="B117" s="62"/>
      <c r="C117" s="14" t="b">
        <v>0</v>
      </c>
      <c r="D117" s="54"/>
      <c r="E117" s="55"/>
      <c r="F117" s="56"/>
      <c r="H117" s="57"/>
      <c r="I117" s="2"/>
      <c r="J117" s="34" t="str">
        <f>ifna(HYPERLINK("#gid=1523906944&amp;range="&amp;REPLACE(REPLACE(Address(CELL("row",VLOOKUP($H117,Quest_Tracker!$A$2:$B$900,2,FALSE)),CELL("col",VLOOKUP($H117,Quest_Tracker!$A$2:$B$900,2,FALSE))),1,1,""),2,1,""),VLOOKUP($H117,Quest_Tracker!$A$2:$B$900,2,FALSE)))</f>
        <v/>
      </c>
      <c r="K117" s="59" t="str">
        <f>ifna(VLOOKUP($H117,Quest_Tracker!$A$2:$I$900,9,FALSE))</f>
        <v/>
      </c>
      <c r="L117" s="59" t="str">
        <f>ifna(VLOOKUP($H117,Quest_Tracker!$A$2:$I$900,3,FALSE))</f>
        <v/>
      </c>
      <c r="M117" s="60" t="str">
        <f>ifna(VLOOKUP($H117,Quest_Tracker!$A$2:$I$900,4,FALSE))</f>
        <v/>
      </c>
    </row>
    <row r="118">
      <c r="B118" s="62"/>
      <c r="C118" s="14" t="b">
        <v>0</v>
      </c>
      <c r="D118" s="54"/>
      <c r="E118" s="55"/>
      <c r="F118" s="56"/>
      <c r="H118" s="57"/>
      <c r="I118" s="2"/>
      <c r="J118" s="34" t="str">
        <f>ifna(HYPERLINK("#gid=1523906944&amp;range="&amp;REPLACE(REPLACE(Address(CELL("row",VLOOKUP($H118,Quest_Tracker!$A$2:$B$900,2,FALSE)),CELL("col",VLOOKUP($H118,Quest_Tracker!$A$2:$B$900,2,FALSE))),1,1,""),2,1,""),VLOOKUP($H118,Quest_Tracker!$A$2:$B$900,2,FALSE)))</f>
        <v/>
      </c>
      <c r="K118" s="59" t="str">
        <f>ifna(VLOOKUP($H118,Quest_Tracker!$A$2:$I$900,9,FALSE))</f>
        <v/>
      </c>
      <c r="L118" s="59" t="str">
        <f>ifna(VLOOKUP($H118,Quest_Tracker!$A$2:$I$900,3,FALSE))</f>
        <v/>
      </c>
      <c r="M118" s="60" t="str">
        <f>ifna(VLOOKUP($H118,Quest_Tracker!$A$2:$I$900,4,FALSE))</f>
        <v/>
      </c>
    </row>
    <row r="119">
      <c r="B119" s="62"/>
      <c r="C119" s="14" t="b">
        <v>0</v>
      </c>
      <c r="D119" s="54"/>
      <c r="E119" s="55"/>
      <c r="F119" s="56"/>
      <c r="H119" s="57"/>
      <c r="I119" s="2"/>
      <c r="J119" s="34" t="str">
        <f>ifna(HYPERLINK("#gid=1523906944&amp;range="&amp;REPLACE(REPLACE(Address(CELL("row",VLOOKUP($H119,Quest_Tracker!$A$2:$B$900,2,FALSE)),CELL("col",VLOOKUP($H119,Quest_Tracker!$A$2:$B$900,2,FALSE))),1,1,""),2,1,""),VLOOKUP($H119,Quest_Tracker!$A$2:$B$900,2,FALSE)))</f>
        <v/>
      </c>
      <c r="K119" s="59" t="str">
        <f>ifna(VLOOKUP($H119,Quest_Tracker!$A$2:$I$900,9,FALSE))</f>
        <v/>
      </c>
      <c r="L119" s="59" t="str">
        <f>ifna(VLOOKUP($H119,Quest_Tracker!$A$2:$I$900,3,FALSE))</f>
        <v/>
      </c>
      <c r="M119" s="60" t="str">
        <f>ifna(VLOOKUP($H119,Quest_Tracker!$A$2:$I$900,4,FALSE))</f>
        <v/>
      </c>
    </row>
    <row r="120">
      <c r="B120" s="62"/>
      <c r="C120" s="14" t="b">
        <v>0</v>
      </c>
      <c r="D120" s="54"/>
      <c r="E120" s="55"/>
      <c r="F120" s="56"/>
      <c r="H120" s="57"/>
      <c r="I120" s="2"/>
      <c r="J120" s="34" t="str">
        <f>ifna(HYPERLINK("#gid=1523906944&amp;range="&amp;REPLACE(REPLACE(Address(CELL("row",VLOOKUP($H120,Quest_Tracker!$A$2:$B$900,2,FALSE)),CELL("col",VLOOKUP($H120,Quest_Tracker!$A$2:$B$900,2,FALSE))),1,1,""),2,1,""),VLOOKUP($H120,Quest_Tracker!$A$2:$B$900,2,FALSE)))</f>
        <v/>
      </c>
      <c r="K120" s="59" t="str">
        <f>ifna(VLOOKUP($H120,Quest_Tracker!$A$2:$I$900,9,FALSE))</f>
        <v/>
      </c>
      <c r="L120" s="59" t="str">
        <f>ifna(VLOOKUP($H120,Quest_Tracker!$A$2:$I$900,3,FALSE))</f>
        <v/>
      </c>
      <c r="M120" s="60" t="str">
        <f>ifna(VLOOKUP($H120,Quest_Tracker!$A$2:$I$900,4,FALSE))</f>
        <v/>
      </c>
    </row>
    <row r="121">
      <c r="B121" s="62"/>
      <c r="C121" s="14" t="b">
        <v>0</v>
      </c>
      <c r="D121" s="54"/>
      <c r="E121" s="55"/>
      <c r="F121" s="56"/>
      <c r="H121" s="57"/>
      <c r="I121" s="2"/>
      <c r="J121" s="34" t="str">
        <f>ifna(HYPERLINK("#gid=1523906944&amp;range="&amp;REPLACE(REPLACE(Address(CELL("row",VLOOKUP($H121,Quest_Tracker!$A$2:$B$900,2,FALSE)),CELL("col",VLOOKUP($H121,Quest_Tracker!$A$2:$B$900,2,FALSE))),1,1,""),2,1,""),VLOOKUP($H121,Quest_Tracker!$A$2:$B$900,2,FALSE)))</f>
        <v/>
      </c>
      <c r="K121" s="59" t="str">
        <f>ifna(VLOOKUP($H121,Quest_Tracker!$A$2:$I$900,9,FALSE))</f>
        <v/>
      </c>
      <c r="L121" s="59" t="str">
        <f>ifna(VLOOKUP($H121,Quest_Tracker!$A$2:$I$900,3,FALSE))</f>
        <v/>
      </c>
      <c r="M121" s="60" t="str">
        <f>ifna(VLOOKUP($H121,Quest_Tracker!$A$2:$I$900,4,FALSE))</f>
        <v/>
      </c>
    </row>
    <row r="122">
      <c r="B122" s="62"/>
      <c r="C122" s="14" t="b">
        <v>0</v>
      </c>
      <c r="D122" s="54"/>
      <c r="E122" s="55"/>
      <c r="F122" s="56"/>
      <c r="H122" s="57"/>
      <c r="I122" s="2"/>
      <c r="J122" s="34" t="str">
        <f>ifna(HYPERLINK("#gid=1523906944&amp;range="&amp;REPLACE(REPLACE(Address(CELL("row",VLOOKUP($H122,Quest_Tracker!$A$2:$B$900,2,FALSE)),CELL("col",VLOOKUP($H122,Quest_Tracker!$A$2:$B$900,2,FALSE))),1,1,""),2,1,""),VLOOKUP($H122,Quest_Tracker!$A$2:$B$900,2,FALSE)))</f>
        <v/>
      </c>
      <c r="K122" s="59" t="str">
        <f>ifna(VLOOKUP($H122,Quest_Tracker!$A$2:$I$900,9,FALSE))</f>
        <v/>
      </c>
      <c r="L122" s="59" t="str">
        <f>ifna(VLOOKUP($H122,Quest_Tracker!$A$2:$I$900,3,FALSE))</f>
        <v/>
      </c>
      <c r="M122" s="60" t="str">
        <f>ifna(VLOOKUP($H122,Quest_Tracker!$A$2:$I$900,4,FALSE))</f>
        <v/>
      </c>
    </row>
    <row r="123">
      <c r="B123" s="62"/>
      <c r="C123" s="14" t="b">
        <v>0</v>
      </c>
      <c r="D123" s="54"/>
      <c r="E123" s="55"/>
      <c r="F123" s="56"/>
      <c r="H123" s="57"/>
      <c r="I123" s="2"/>
      <c r="J123" s="34" t="str">
        <f>ifna(HYPERLINK("#gid=1523906944&amp;range="&amp;REPLACE(REPLACE(Address(CELL("row",VLOOKUP($H123,Quest_Tracker!$A$2:$B$900,2,FALSE)),CELL("col",VLOOKUP($H123,Quest_Tracker!$A$2:$B$900,2,FALSE))),1,1,""),2,1,""),VLOOKUP($H123,Quest_Tracker!$A$2:$B$900,2,FALSE)))</f>
        <v/>
      </c>
      <c r="K123" s="59" t="str">
        <f>ifna(VLOOKUP($H123,Quest_Tracker!$A$2:$I$900,9,FALSE))</f>
        <v/>
      </c>
      <c r="L123" s="59" t="str">
        <f>ifna(VLOOKUP($H123,Quest_Tracker!$A$2:$I$900,3,FALSE))</f>
        <v/>
      </c>
      <c r="M123" s="60" t="str">
        <f>ifna(VLOOKUP($H123,Quest_Tracker!$A$2:$I$900,4,FALSE))</f>
        <v/>
      </c>
    </row>
    <row r="124">
      <c r="B124" s="62"/>
      <c r="C124" s="14" t="b">
        <v>0</v>
      </c>
      <c r="D124" s="54"/>
      <c r="E124" s="55"/>
      <c r="F124" s="56"/>
      <c r="H124" s="57"/>
      <c r="I124" s="2"/>
      <c r="J124" s="34" t="str">
        <f>ifna(HYPERLINK("#gid=1523906944&amp;range="&amp;REPLACE(REPLACE(Address(CELL("row",VLOOKUP($H124,Quest_Tracker!$A$2:$B$900,2,FALSE)),CELL("col",VLOOKUP($H124,Quest_Tracker!$A$2:$B$900,2,FALSE))),1,1,""),2,1,""),VLOOKUP($H124,Quest_Tracker!$A$2:$B$900,2,FALSE)))</f>
        <v/>
      </c>
      <c r="K124" s="59" t="str">
        <f>ifna(VLOOKUP($H124,Quest_Tracker!$A$2:$I$900,9,FALSE))</f>
        <v/>
      </c>
      <c r="L124" s="59" t="str">
        <f>ifna(VLOOKUP($H124,Quest_Tracker!$A$2:$I$900,3,FALSE))</f>
        <v/>
      </c>
      <c r="M124" s="60" t="str">
        <f>ifna(VLOOKUP($H124,Quest_Tracker!$A$2:$I$900,4,FALSE))</f>
        <v/>
      </c>
    </row>
    <row r="125">
      <c r="B125" s="62"/>
      <c r="C125" s="14" t="b">
        <v>0</v>
      </c>
      <c r="D125" s="54"/>
      <c r="E125" s="55"/>
      <c r="F125" s="56"/>
      <c r="H125" s="57"/>
      <c r="I125" s="2"/>
      <c r="J125" s="34" t="str">
        <f>ifna(HYPERLINK("#gid=1523906944&amp;range="&amp;REPLACE(REPLACE(Address(CELL("row",VLOOKUP($H125,Quest_Tracker!$A$2:$B$900,2,FALSE)),CELL("col",VLOOKUP($H125,Quest_Tracker!$A$2:$B$900,2,FALSE))),1,1,""),2,1,""),VLOOKUP($H125,Quest_Tracker!$A$2:$B$900,2,FALSE)))</f>
        <v/>
      </c>
      <c r="K125" s="59" t="str">
        <f>ifna(VLOOKUP($H125,Quest_Tracker!$A$2:$I$900,9,FALSE))</f>
        <v/>
      </c>
      <c r="L125" s="59" t="str">
        <f>ifna(VLOOKUP($H125,Quest_Tracker!$A$2:$I$900,3,FALSE))</f>
        <v/>
      </c>
      <c r="M125" s="60" t="str">
        <f>ifna(VLOOKUP($H125,Quest_Tracker!$A$2:$I$900,4,FALSE))</f>
        <v/>
      </c>
    </row>
    <row r="126">
      <c r="B126" s="62"/>
      <c r="C126" s="14" t="b">
        <v>0</v>
      </c>
      <c r="D126" s="54"/>
      <c r="E126" s="55"/>
      <c r="F126" s="56"/>
      <c r="H126" s="57"/>
      <c r="I126" s="2"/>
      <c r="J126" s="34" t="str">
        <f>ifna(HYPERLINK("#gid=1523906944&amp;range="&amp;REPLACE(REPLACE(Address(CELL("row",VLOOKUP($H126,Quest_Tracker!$A$2:$B$900,2,FALSE)),CELL("col",VLOOKUP($H126,Quest_Tracker!$A$2:$B$900,2,FALSE))),1,1,""),2,1,""),VLOOKUP($H126,Quest_Tracker!$A$2:$B$900,2,FALSE)))</f>
        <v/>
      </c>
      <c r="K126" s="59" t="str">
        <f>ifna(VLOOKUP($H126,Quest_Tracker!$A$2:$I$900,9,FALSE))</f>
        <v/>
      </c>
      <c r="L126" s="59" t="str">
        <f>ifna(VLOOKUP($H126,Quest_Tracker!$A$2:$I$900,3,FALSE))</f>
        <v/>
      </c>
      <c r="M126" s="60" t="str">
        <f>ifna(VLOOKUP($H126,Quest_Tracker!$A$2:$I$900,4,FALSE))</f>
        <v/>
      </c>
    </row>
    <row r="127">
      <c r="B127" s="62"/>
      <c r="C127" s="14" t="b">
        <v>0</v>
      </c>
      <c r="D127" s="54"/>
      <c r="E127" s="55"/>
      <c r="F127" s="56"/>
      <c r="H127" s="57"/>
      <c r="I127" s="2"/>
      <c r="J127" s="34" t="str">
        <f>ifna(HYPERLINK("#gid=1523906944&amp;range="&amp;REPLACE(REPLACE(Address(CELL("row",VLOOKUP($H127,Quest_Tracker!$A$2:$B$900,2,FALSE)),CELL("col",VLOOKUP($H127,Quest_Tracker!$A$2:$B$900,2,FALSE))),1,1,""),2,1,""),VLOOKUP($H127,Quest_Tracker!$A$2:$B$900,2,FALSE)))</f>
        <v/>
      </c>
      <c r="K127" s="59" t="str">
        <f>ifna(VLOOKUP($H127,Quest_Tracker!$A$2:$I$900,9,FALSE))</f>
        <v/>
      </c>
      <c r="L127" s="59" t="str">
        <f>ifna(VLOOKUP($H127,Quest_Tracker!$A$2:$I$900,3,FALSE))</f>
        <v/>
      </c>
      <c r="M127" s="60" t="str">
        <f>ifna(VLOOKUP($H127,Quest_Tracker!$A$2:$I$900,4,FALSE))</f>
        <v/>
      </c>
    </row>
    <row r="128">
      <c r="B128" s="62"/>
      <c r="C128" s="14" t="b">
        <v>0</v>
      </c>
      <c r="D128" s="54"/>
      <c r="E128" s="55"/>
      <c r="F128" s="56"/>
      <c r="H128" s="57"/>
      <c r="I128" s="2"/>
      <c r="J128" s="34" t="str">
        <f>ifna(HYPERLINK("#gid=1523906944&amp;range="&amp;REPLACE(REPLACE(Address(CELL("row",VLOOKUP($H128,Quest_Tracker!$A$2:$B$900,2,FALSE)),CELL("col",VLOOKUP($H128,Quest_Tracker!$A$2:$B$900,2,FALSE))),1,1,""),2,1,""),VLOOKUP($H128,Quest_Tracker!$A$2:$B$900,2,FALSE)))</f>
        <v/>
      </c>
      <c r="K128" s="59" t="str">
        <f>ifna(VLOOKUP($H128,Quest_Tracker!$A$2:$I$900,9,FALSE))</f>
        <v/>
      </c>
      <c r="L128" s="59" t="str">
        <f>ifna(VLOOKUP($H128,Quest_Tracker!$A$2:$I$900,3,FALSE))</f>
        <v/>
      </c>
      <c r="M128" s="60" t="str">
        <f>ifna(VLOOKUP($H128,Quest_Tracker!$A$2:$I$900,4,FALSE))</f>
        <v/>
      </c>
    </row>
    <row r="129">
      <c r="B129" s="62"/>
      <c r="C129" s="14" t="b">
        <v>0</v>
      </c>
      <c r="D129" s="54"/>
      <c r="E129" s="55"/>
      <c r="F129" s="56"/>
      <c r="H129" s="57"/>
      <c r="I129" s="2"/>
      <c r="J129" s="34" t="str">
        <f>ifna(HYPERLINK("#gid=1523906944&amp;range="&amp;REPLACE(REPLACE(Address(CELL("row",VLOOKUP($H129,Quest_Tracker!$A$2:$B$900,2,FALSE)),CELL("col",VLOOKUP($H129,Quest_Tracker!$A$2:$B$900,2,FALSE))),1,1,""),2,1,""),VLOOKUP($H129,Quest_Tracker!$A$2:$B$900,2,FALSE)))</f>
        <v/>
      </c>
      <c r="K129" s="59" t="str">
        <f>ifna(VLOOKUP($H129,Quest_Tracker!$A$2:$I$900,9,FALSE))</f>
        <v/>
      </c>
      <c r="L129" s="59" t="str">
        <f>ifna(VLOOKUP($H129,Quest_Tracker!$A$2:$I$900,3,FALSE))</f>
        <v/>
      </c>
      <c r="M129" s="60" t="str">
        <f>ifna(VLOOKUP($H129,Quest_Tracker!$A$2:$I$900,4,FALSE))</f>
        <v/>
      </c>
    </row>
    <row r="130">
      <c r="B130" s="62"/>
      <c r="C130" s="14" t="b">
        <v>0</v>
      </c>
      <c r="D130" s="54"/>
      <c r="E130" s="55"/>
      <c r="F130" s="56"/>
      <c r="H130" s="57"/>
      <c r="I130" s="2"/>
      <c r="J130" s="34" t="str">
        <f>ifna(HYPERLINK("#gid=1523906944&amp;range="&amp;REPLACE(REPLACE(Address(CELL("row",VLOOKUP($H130,Quest_Tracker!$A$2:$B$900,2,FALSE)),CELL("col",VLOOKUP($H130,Quest_Tracker!$A$2:$B$900,2,FALSE))),1,1,""),2,1,""),VLOOKUP($H130,Quest_Tracker!$A$2:$B$900,2,FALSE)))</f>
        <v/>
      </c>
      <c r="K130" s="59" t="str">
        <f>ifna(VLOOKUP($H130,Quest_Tracker!$A$2:$I$900,9,FALSE))</f>
        <v/>
      </c>
      <c r="L130" s="59" t="str">
        <f>ifna(VLOOKUP($H130,Quest_Tracker!$A$2:$I$900,3,FALSE))</f>
        <v/>
      </c>
      <c r="M130" s="60" t="str">
        <f>ifna(VLOOKUP($H130,Quest_Tracker!$A$2:$I$900,4,FALSE))</f>
        <v/>
      </c>
    </row>
    <row r="131">
      <c r="B131" s="62"/>
      <c r="C131" s="14" t="b">
        <v>0</v>
      </c>
      <c r="D131" s="54"/>
      <c r="E131" s="55"/>
      <c r="F131" s="56"/>
      <c r="H131" s="57"/>
      <c r="I131" s="2"/>
      <c r="J131" s="34" t="str">
        <f>ifna(HYPERLINK("#gid=1523906944&amp;range="&amp;REPLACE(REPLACE(Address(CELL("row",VLOOKUP($H131,Quest_Tracker!$A$2:$B$900,2,FALSE)),CELL("col",VLOOKUP($H131,Quest_Tracker!$A$2:$B$900,2,FALSE))),1,1,""),2,1,""),VLOOKUP($H131,Quest_Tracker!$A$2:$B$900,2,FALSE)))</f>
        <v/>
      </c>
      <c r="K131" s="59" t="str">
        <f>ifna(VLOOKUP($H131,Quest_Tracker!$A$2:$I$900,9,FALSE))</f>
        <v/>
      </c>
      <c r="L131" s="59" t="str">
        <f>ifna(VLOOKUP($H131,Quest_Tracker!$A$2:$I$900,3,FALSE))</f>
        <v/>
      </c>
      <c r="M131" s="60" t="str">
        <f>ifna(VLOOKUP($H131,Quest_Tracker!$A$2:$I$900,4,FALSE))</f>
        <v/>
      </c>
    </row>
    <row r="132">
      <c r="B132" s="62"/>
      <c r="C132" s="14" t="b">
        <v>0</v>
      </c>
      <c r="D132" s="54"/>
      <c r="E132" s="55"/>
      <c r="F132" s="56"/>
      <c r="H132" s="57"/>
      <c r="I132" s="2"/>
      <c r="J132" s="34" t="str">
        <f>ifna(HYPERLINK("#gid=1523906944&amp;range="&amp;REPLACE(REPLACE(Address(CELL("row",VLOOKUP($H132,Quest_Tracker!$A$2:$B$900,2,FALSE)),CELL("col",VLOOKUP($H132,Quest_Tracker!$A$2:$B$900,2,FALSE))),1,1,""),2,1,""),VLOOKUP($H132,Quest_Tracker!$A$2:$B$900,2,FALSE)))</f>
        <v/>
      </c>
      <c r="K132" s="59" t="str">
        <f>ifna(VLOOKUP($H132,Quest_Tracker!$A$2:$I$900,9,FALSE))</f>
        <v/>
      </c>
      <c r="L132" s="59" t="str">
        <f>ifna(VLOOKUP($H132,Quest_Tracker!$A$2:$I$900,3,FALSE))</f>
        <v/>
      </c>
      <c r="M132" s="60" t="str">
        <f>ifna(VLOOKUP($H132,Quest_Tracker!$A$2:$I$900,4,FALSE))</f>
        <v/>
      </c>
    </row>
    <row r="133">
      <c r="B133" s="62"/>
      <c r="C133" s="14" t="b">
        <v>0</v>
      </c>
      <c r="D133" s="54"/>
      <c r="E133" s="55"/>
      <c r="F133" s="56"/>
      <c r="H133" s="57"/>
      <c r="I133" s="2"/>
      <c r="J133" s="34" t="str">
        <f>ifna(HYPERLINK("#gid=1523906944&amp;range="&amp;REPLACE(REPLACE(Address(CELL("row",VLOOKUP($H133,Quest_Tracker!$A$2:$B$900,2,FALSE)),CELL("col",VLOOKUP($H133,Quest_Tracker!$A$2:$B$900,2,FALSE))),1,1,""),2,1,""),VLOOKUP($H133,Quest_Tracker!$A$2:$B$900,2,FALSE)))</f>
        <v/>
      </c>
      <c r="K133" s="59" t="str">
        <f>ifna(VLOOKUP($H133,Quest_Tracker!$A$2:$I$900,9,FALSE))</f>
        <v/>
      </c>
      <c r="L133" s="59" t="str">
        <f>ifna(VLOOKUP($H133,Quest_Tracker!$A$2:$I$900,3,FALSE))</f>
        <v/>
      </c>
      <c r="M133" s="60" t="str">
        <f>ifna(VLOOKUP($H133,Quest_Tracker!$A$2:$I$900,4,FALSE))</f>
        <v/>
      </c>
    </row>
    <row r="134">
      <c r="B134" s="62"/>
      <c r="C134" s="14" t="b">
        <v>0</v>
      </c>
      <c r="D134" s="54"/>
      <c r="E134" s="55"/>
      <c r="F134" s="56"/>
      <c r="H134" s="57"/>
      <c r="I134" s="2"/>
      <c r="J134" s="34" t="str">
        <f>ifna(HYPERLINK("#gid=1523906944&amp;range="&amp;REPLACE(REPLACE(Address(CELL("row",VLOOKUP($H134,Quest_Tracker!$A$2:$B$900,2,FALSE)),CELL("col",VLOOKUP($H134,Quest_Tracker!$A$2:$B$900,2,FALSE))),1,1,""),2,1,""),VLOOKUP($H134,Quest_Tracker!$A$2:$B$900,2,FALSE)))</f>
        <v/>
      </c>
      <c r="K134" s="59" t="str">
        <f>ifna(VLOOKUP($H134,Quest_Tracker!$A$2:$I$900,9,FALSE))</f>
        <v/>
      </c>
      <c r="L134" s="59" t="str">
        <f>ifna(VLOOKUP($H134,Quest_Tracker!$A$2:$I$900,3,FALSE))</f>
        <v/>
      </c>
      <c r="M134" s="60" t="str">
        <f>ifna(VLOOKUP($H134,Quest_Tracker!$A$2:$I$900,4,FALSE))</f>
        <v/>
      </c>
    </row>
    <row r="135">
      <c r="B135" s="62"/>
      <c r="C135" s="14" t="b">
        <v>0</v>
      </c>
      <c r="D135" s="54"/>
      <c r="E135" s="55"/>
      <c r="F135" s="56"/>
      <c r="H135" s="57"/>
      <c r="I135" s="2"/>
      <c r="J135" s="34" t="str">
        <f>ifna(HYPERLINK("#gid=1523906944&amp;range="&amp;REPLACE(REPLACE(Address(CELL("row",VLOOKUP($H135,Quest_Tracker!$A$2:$B$900,2,FALSE)),CELL("col",VLOOKUP($H135,Quest_Tracker!$A$2:$B$900,2,FALSE))),1,1,""),2,1,""),VLOOKUP($H135,Quest_Tracker!$A$2:$B$900,2,FALSE)))</f>
        <v/>
      </c>
      <c r="K135" s="59" t="str">
        <f>ifna(VLOOKUP($H135,Quest_Tracker!$A$2:$I$900,9,FALSE))</f>
        <v/>
      </c>
      <c r="L135" s="59" t="str">
        <f>ifna(VLOOKUP($H135,Quest_Tracker!$A$2:$I$900,3,FALSE))</f>
        <v/>
      </c>
      <c r="M135" s="60"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88</v>
      </c>
      <c r="C1" s="38" t="s">
        <v>89</v>
      </c>
      <c r="D1" s="38" t="s">
        <v>90</v>
      </c>
      <c r="E1" s="38" t="s">
        <v>91</v>
      </c>
      <c r="F1" s="38" t="s">
        <v>92</v>
      </c>
      <c r="G1" s="63" t="s">
        <v>93</v>
      </c>
      <c r="H1" s="14" t="s">
        <v>94</v>
      </c>
      <c r="I1" s="38" t="s">
        <v>95</v>
      </c>
      <c r="J1" s="63" t="s">
        <v>96</v>
      </c>
      <c r="K1" s="14" t="s">
        <v>97</v>
      </c>
      <c r="P1" s="16">
        <f>VLOOKUP($K$1,Classes!$A$2:$AX993,MATCH("eleselect",Classes!$A1:$AX$1,0),FALSE)</f>
        <v>0</v>
      </c>
      <c r="Q1" s="16">
        <f>IFNA(VLOOKUP($K$3,EnhancedClasses!$B$2:$AX993,MATCH("eleselect",EnhancedClasses!$B1:$AX$1,0),FALSE),"")</f>
        <v>0</v>
      </c>
    </row>
    <row r="2">
      <c r="A2" s="63" t="s">
        <v>7</v>
      </c>
      <c r="B2" s="64">
        <v>20.0</v>
      </c>
      <c r="C2" s="65"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3" t="s">
        <v>98</v>
      </c>
      <c r="H2" s="14" t="s">
        <v>99</v>
      </c>
      <c r="I2" s="14" t="b">
        <v>1</v>
      </c>
      <c r="J2" s="63" t="s">
        <v>100</v>
      </c>
      <c r="K2" s="14" t="s">
        <v>101</v>
      </c>
      <c r="S2" s="66" t="s">
        <v>102</v>
      </c>
      <c r="T2" s="65"/>
      <c r="U2" s="37"/>
      <c r="V2" s="65"/>
      <c r="W2" s="37" t="str">
        <f>IFERROR(__xludf.DUMMYFUNCTION("QUERY(PossibleSpells!$A$2:$G$24,""Select A,G where G &gt; 0"")"),"Fire")</f>
        <v>Fire</v>
      </c>
      <c r="X2" s="67">
        <f>IFERROR(__xludf.DUMMYFUNCTION("""COMPUTED_VALUE"""),9.0)</f>
        <v>9</v>
      </c>
      <c r="Y2" s="68"/>
      <c r="Z2" s="37"/>
      <c r="AA2" s="37"/>
      <c r="AB2" s="65"/>
    </row>
    <row r="3">
      <c r="A3" s="63" t="s">
        <v>8</v>
      </c>
      <c r="B3" s="64">
        <v>20.0</v>
      </c>
      <c r="C3" s="65"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3" t="s">
        <v>103</v>
      </c>
      <c r="K3" s="14" t="s">
        <v>104</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IFERROR(__xludf.DUMMYFUNCTION("FILTER(EnhancedClasses!$A$2:$B993,EnhancedClasses!$A$2:$A993=$K$2)"),"Knight")</f>
        <v>Knight</v>
      </c>
      <c r="Q3" s="16" t="str">
        <f>IFERROR(__xludf.DUMMYFUNCTION("""COMPUTED_VALUE"""),"Elemental Knight")</f>
        <v>Elemental Knight</v>
      </c>
      <c r="S3" s="66" t="s">
        <v>105</v>
      </c>
      <c r="T3" s="65"/>
      <c r="U3" s="37"/>
      <c r="V3" s="65"/>
      <c r="W3" s="37" t="str">
        <f>IFERROR(__xludf.DUMMYFUNCTION("""COMPUTED_VALUE"""),"Water")</f>
        <v>Water</v>
      </c>
      <c r="X3" s="67">
        <f>IFERROR(__xludf.DUMMYFUNCTION("""COMPUTED_VALUE"""),9.0)</f>
        <v>9</v>
      </c>
      <c r="Y3" s="68"/>
      <c r="Z3" s="37"/>
      <c r="AA3" s="37"/>
      <c r="AB3" s="65"/>
    </row>
    <row r="4">
      <c r="A4" s="63" t="s">
        <v>9</v>
      </c>
      <c r="B4" s="64">
        <v>20.0</v>
      </c>
      <c r="C4" s="65"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3" t="s">
        <v>106</v>
      </c>
      <c r="F4" s="16"/>
      <c r="H4" s="63" t="s">
        <v>107</v>
      </c>
      <c r="I4" s="69">
        <v>6.0</v>
      </c>
      <c r="J4" s="70" t="s">
        <v>108</v>
      </c>
      <c r="K4" s="14" t="s">
        <v>109</v>
      </c>
      <c r="P4" s="16" t="str">
        <f>IFERROR(__xludf.DUMMYFUNCTION("""COMPUTED_VALUE"""),"Knight")</f>
        <v>Knight</v>
      </c>
      <c r="Q4" s="16" t="str">
        <f>IFERROR(__xludf.DUMMYFUNCTION("""COMPUTED_VALUE"""),"Defensive Knight")</f>
        <v>Defensive Knight</v>
      </c>
      <c r="S4" s="66" t="s">
        <v>110</v>
      </c>
      <c r="T4" s="65"/>
      <c r="U4" s="37"/>
      <c r="V4" s="65"/>
      <c r="W4" s="37" t="str">
        <f>IFERROR(__xludf.DUMMYFUNCTION("""COMPUTED_VALUE"""),"Storm")</f>
        <v>Storm</v>
      </c>
      <c r="X4" s="67">
        <f>IFERROR(__xludf.DUMMYFUNCTION("""COMPUTED_VALUE"""),9.0)</f>
        <v>9</v>
      </c>
      <c r="Y4" s="68"/>
      <c r="Z4" s="37"/>
      <c r="AA4" s="37"/>
      <c r="AB4" s="65"/>
    </row>
    <row r="5">
      <c r="A5" s="63" t="s">
        <v>111</v>
      </c>
      <c r="B5" s="64">
        <v>20.0</v>
      </c>
      <c r="C5" s="65"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3" t="s">
        <v>112</v>
      </c>
      <c r="F5" s="14" t="s">
        <v>113</v>
      </c>
      <c r="J5" s="63" t="s">
        <v>114</v>
      </c>
      <c r="K5" s="16"/>
      <c r="P5" s="16" t="str">
        <f>IFERROR(__xludf.DUMMYFUNCTION("""COMPUTED_VALUE"""),"Knight")</f>
        <v>Knight</v>
      </c>
      <c r="Q5" s="16" t="str">
        <f>IFERROR(__xludf.DUMMYFUNCTION("""COMPUTED_VALUE"""),"Offensive Knight")</f>
        <v>Offensive Knight</v>
      </c>
      <c r="S5" s="66" t="s">
        <v>115</v>
      </c>
      <c r="T5" s="65"/>
      <c r="U5" s="37"/>
      <c r="V5" s="37"/>
      <c r="W5" s="37" t="str">
        <f>IFERROR(__xludf.DUMMYFUNCTION("""COMPUTED_VALUE"""),"Earth")</f>
        <v>Earth</v>
      </c>
      <c r="X5" s="67">
        <f>IFERROR(__xludf.DUMMYFUNCTION("""COMPUTED_VALUE"""),9.0)</f>
        <v>9</v>
      </c>
      <c r="Y5" s="68"/>
      <c r="Z5" s="37"/>
      <c r="AA5" s="37"/>
      <c r="AB5" s="65"/>
    </row>
    <row r="6">
      <c r="A6" s="63" t="s">
        <v>116</v>
      </c>
      <c r="B6" s="64">
        <v>20.0</v>
      </c>
      <c r="C6" s="65"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3" t="s">
        <v>117</v>
      </c>
      <c r="F6" s="69"/>
      <c r="H6" s="71" t="s">
        <v>118</v>
      </c>
      <c r="I6" s="18" t="s">
        <v>119</v>
      </c>
      <c r="J6" s="63" t="s">
        <v>120</v>
      </c>
      <c r="K6" s="16"/>
      <c r="P6" s="16" t="str">
        <f>IFERROR(__xludf.DUMMYFUNCTION("""COMPUTED_VALUE"""),"Knight")</f>
        <v>Knight</v>
      </c>
      <c r="Q6" s="16" t="str">
        <f>IFERROR(__xludf.DUMMYFUNCTION("""COMPUTED_VALUE"""),"Warden")</f>
        <v>Warden</v>
      </c>
      <c r="S6" s="66" t="s">
        <v>121</v>
      </c>
      <c r="T6" s="65"/>
      <c r="U6" s="37"/>
      <c r="V6" s="65"/>
      <c r="W6" s="37" t="str">
        <f>IFERROR(__xludf.DUMMYFUNCTION("""COMPUTED_VALUE"""),"Light")</f>
        <v>Light</v>
      </c>
      <c r="X6" s="67">
        <f>IFERROR(__xludf.DUMMYFUNCTION("""COMPUTED_VALUE"""),9.0)</f>
        <v>9</v>
      </c>
      <c r="Y6" s="68"/>
      <c r="Z6" s="37"/>
      <c r="AA6" s="37"/>
      <c r="AB6" s="65"/>
    </row>
    <row r="7">
      <c r="A7" s="63" t="s">
        <v>122</v>
      </c>
      <c r="B7" s="64">
        <v>20.0</v>
      </c>
      <c r="C7" s="65"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3" t="s">
        <v>123</v>
      </c>
      <c r="F7" s="69"/>
      <c r="H7" s="72" t="s">
        <v>124</v>
      </c>
      <c r="I7" s="21" t="str">
        <f>IFERROR(VLOOKUP($I$6,AstrologicalSigns!$A$2:$D993,2,FALSE),"")</f>
        <v>Unrelenting Grip</v>
      </c>
      <c r="J7" s="63" t="s">
        <v>125</v>
      </c>
      <c r="K7" s="16"/>
      <c r="P7" s="16" t="str">
        <f>IFERROR(__xludf.DUMMYFUNCTION("""COMPUTED_VALUE"""),"Knight")</f>
        <v>Knight</v>
      </c>
      <c r="Q7" s="16" t="str">
        <f>IFERROR(__xludf.DUMMYFUNCTION("""COMPUTED_VALUE"""),"Dark Knight")</f>
        <v>Dark Knight</v>
      </c>
      <c r="S7" s="66" t="s">
        <v>126</v>
      </c>
      <c r="T7" s="65"/>
      <c r="U7" s="37"/>
      <c r="V7" s="65"/>
      <c r="W7" s="37" t="str">
        <f>IFERROR(__xludf.DUMMYFUNCTION("""COMPUTED_VALUE"""),"Dark")</f>
        <v>Dark</v>
      </c>
      <c r="X7" s="67">
        <f>IFERROR(__xludf.DUMMYFUNCTION("""COMPUTED_VALUE"""),9.0)</f>
        <v>9</v>
      </c>
      <c r="Y7" s="68"/>
      <c r="Z7" s="37"/>
      <c r="AA7" s="37"/>
      <c r="AB7" s="65"/>
    </row>
    <row r="8">
      <c r="A8" s="63" t="s">
        <v>127</v>
      </c>
      <c r="B8" s="64">
        <v>20.0</v>
      </c>
      <c r="C8" s="65"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3" t="s">
        <v>128</v>
      </c>
      <c r="F8" s="69"/>
      <c r="H8" s="73" t="s">
        <v>25</v>
      </c>
      <c r="I8" s="35"/>
      <c r="S8" s="66" t="s">
        <v>129</v>
      </c>
      <c r="T8" s="65"/>
      <c r="U8" s="37"/>
      <c r="V8" s="37"/>
      <c r="W8" s="37" t="str">
        <f>IFERROR(__xludf.DUMMYFUNCTION("""COMPUTED_VALUE"""),"Spirit")</f>
        <v>Spirit</v>
      </c>
      <c r="X8" s="67">
        <f>IFERROR(__xludf.DUMMYFUNCTION("""COMPUTED_VALUE"""),9.0)</f>
        <v>9</v>
      </c>
      <c r="Y8" s="68"/>
      <c r="Z8" s="37"/>
      <c r="AA8" s="37"/>
      <c r="AB8" s="65"/>
    </row>
    <row r="9">
      <c r="A9" s="63" t="s">
        <v>130</v>
      </c>
      <c r="B9" s="64">
        <v>20.0</v>
      </c>
      <c r="C9" s="65"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3" t="s">
        <v>131</v>
      </c>
      <c r="F9" s="69"/>
      <c r="H9" s="74" t="str">
        <f>IFERROR(VLOOKUP($I$6,AstrologicalSigns!$A$2:$D993,3,FALSE),"")</f>
        <v>Grab 1 target. Both the user and the target are incapable of performing their turn order and  become completely unresponsive, any damage or effect to one affects both of them. Hit/Miss.</v>
      </c>
      <c r="I9" s="35"/>
      <c r="J9" s="63" t="s">
        <v>132</v>
      </c>
      <c r="S9" s="66" t="s">
        <v>133</v>
      </c>
      <c r="T9" s="65"/>
      <c r="U9" s="37"/>
      <c r="V9" s="37"/>
      <c r="W9" s="37" t="str">
        <f>IFERROR(__xludf.DUMMYFUNCTION("""COMPUTED_VALUE"""),"Order")</f>
        <v>Order</v>
      </c>
      <c r="X9" s="37">
        <f>IFERROR(__xludf.DUMMYFUNCTION("""COMPUTED_VALUE"""),9.0)</f>
        <v>9</v>
      </c>
      <c r="Y9" s="68"/>
      <c r="Z9" s="37"/>
      <c r="AA9" s="37"/>
      <c r="AB9" s="65"/>
    </row>
    <row r="10">
      <c r="E10" s="63" t="s">
        <v>134</v>
      </c>
      <c r="F10" s="16"/>
      <c r="H10" s="75"/>
      <c r="I10" s="35"/>
      <c r="S10" s="66" t="s">
        <v>135</v>
      </c>
      <c r="T10" s="65"/>
      <c r="U10" s="37"/>
      <c r="V10" s="37"/>
      <c r="W10" s="37" t="str">
        <f>IFERROR(__xludf.DUMMYFUNCTION("""COMPUTED_VALUE"""),"Chaos")</f>
        <v>Chaos</v>
      </c>
      <c r="X10" s="37">
        <f>IFERROR(__xludf.DUMMYFUNCTION("""COMPUTED_VALUE"""),9.0)</f>
        <v>9</v>
      </c>
      <c r="Y10" s="68"/>
      <c r="Z10" s="37"/>
      <c r="AA10" s="37"/>
      <c r="AB10" s="65"/>
    </row>
    <row r="11" ht="18.75" customHeight="1">
      <c r="H11" s="7"/>
      <c r="I11" s="8"/>
      <c r="S11" s="66" t="s">
        <v>136</v>
      </c>
      <c r="T11" s="65"/>
      <c r="U11" s="37"/>
      <c r="V11" s="37"/>
      <c r="W11" s="37" t="str">
        <f>IFERROR(__xludf.DUMMYFUNCTION("""COMPUTED_VALUE"""),"Nature")</f>
        <v>Nature</v>
      </c>
      <c r="X11" s="37">
        <f>IFERROR(__xludf.DUMMYFUNCTION("""COMPUTED_VALUE"""),9.0)</f>
        <v>9</v>
      </c>
      <c r="Y11" s="68"/>
      <c r="Z11" s="37"/>
      <c r="AA11" s="37"/>
      <c r="AB11" s="65"/>
    </row>
    <row r="12">
      <c r="B12" s="38" t="s">
        <v>137</v>
      </c>
      <c r="C12" s="38" t="s">
        <v>138</v>
      </c>
      <c r="E12" s="63" t="str">
        <f>"Damage Orb ("&amp;IF(ISBLANK(F12),0,1)&amp;"/1):"</f>
        <v>Damage Orb (0/1):</v>
      </c>
      <c r="F12" s="14"/>
      <c r="G12" s="63" t="s">
        <v>139</v>
      </c>
      <c r="H12" s="14" t="s">
        <v>140</v>
      </c>
      <c r="I12" s="76" t="s">
        <v>141</v>
      </c>
      <c r="J12" s="14" t="str">
        <f>Config!B3</f>
        <v>1mNoojYCRU_5eQ4skcH3ywN5n3JMKPeua1AFji0FLWdI</v>
      </c>
      <c r="S12" s="66" t="s">
        <v>142</v>
      </c>
      <c r="T12" s="65"/>
      <c r="U12" s="37"/>
      <c r="V12" s="37"/>
      <c r="W12" s="37" t="str">
        <f>IFERROR(__xludf.DUMMYFUNCTION("""COMPUTED_VALUE"""),"Physical")</f>
        <v>Physical</v>
      </c>
      <c r="X12" s="37">
        <f>IFERROR(__xludf.DUMMYFUNCTION("""COMPUTED_VALUE"""),9.0)</f>
        <v>9</v>
      </c>
      <c r="Y12" s="68"/>
      <c r="Z12" s="37"/>
      <c r="AA12" s="37"/>
      <c r="AB12" s="65"/>
    </row>
    <row r="13">
      <c r="B13" s="77">
        <v>200.0</v>
      </c>
      <c r="C13" s="78">
        <f>(Rounddown(B13/10)*5)</f>
        <v>100</v>
      </c>
      <c r="E13" s="63" t="s">
        <v>22</v>
      </c>
      <c r="F13" s="14"/>
      <c r="G13" s="63" t="s">
        <v>143</v>
      </c>
      <c r="H13" s="14"/>
      <c r="J13" s="16"/>
      <c r="S13" s="66" t="s">
        <v>144</v>
      </c>
      <c r="T13" s="65"/>
      <c r="U13" s="37"/>
      <c r="V13" s="37"/>
      <c r="W13" s="37" t="str">
        <f>IFERROR(__xludf.DUMMYFUNCTION("""COMPUTED_VALUE"""),"Melee")</f>
        <v>Melee</v>
      </c>
      <c r="X13" s="37">
        <f>IFERROR(__xludf.DUMMYFUNCTION("""COMPUTED_VALUE"""),9.0)</f>
        <v>9</v>
      </c>
      <c r="Y13" s="68"/>
      <c r="Z13" s="37"/>
      <c r="AA13" s="37"/>
      <c r="AB13" s="65"/>
    </row>
    <row r="14">
      <c r="C14" s="16" t="str">
        <f>SUM(E18:J18)&amp;"/"&amp;C13</f>
        <v>100/100</v>
      </c>
      <c r="E14" s="63" t="s">
        <v>145</v>
      </c>
      <c r="F14" s="14"/>
      <c r="G14" s="63" t="s">
        <v>146</v>
      </c>
      <c r="H14" s="14"/>
      <c r="J14" s="14" t="s">
        <v>147</v>
      </c>
      <c r="S14" s="66" t="s">
        <v>148</v>
      </c>
      <c r="T14" s="65"/>
      <c r="U14" s="37"/>
      <c r="V14" s="37"/>
      <c r="W14" s="37" t="str">
        <f>IFERROR(__xludf.DUMMYFUNCTION("""COMPUTED_VALUE"""),"Ranged")</f>
        <v>Ranged</v>
      </c>
      <c r="X14" s="37">
        <f>IFERROR(__xludf.DUMMYFUNCTION("""COMPUTED_VALUE"""),9.0)</f>
        <v>9</v>
      </c>
      <c r="Y14" s="68"/>
      <c r="Z14" s="37"/>
      <c r="AA14" s="37"/>
      <c r="AB14" s="65"/>
    </row>
    <row r="15">
      <c r="C15" s="16" t="str">
        <f>"Free Points:"&amp;(SUM(C13)-SUM(E18:J18))</f>
        <v>Free Points:0</v>
      </c>
      <c r="E15" s="79" t="s">
        <v>149</v>
      </c>
      <c r="F15" s="16"/>
      <c r="S15" s="66" t="s">
        <v>150</v>
      </c>
      <c r="T15" s="65"/>
      <c r="U15" s="37"/>
      <c r="V15" s="37"/>
      <c r="W15" s="37" t="str">
        <f>IFERROR(__xludf.DUMMYFUNCTION("""COMPUTED_VALUE"""),"Stasis")</f>
        <v>Stasis</v>
      </c>
      <c r="X15" s="37">
        <f>IFERROR(__xludf.DUMMYFUNCTION("""COMPUTED_VALUE"""),9.0)</f>
        <v>9</v>
      </c>
      <c r="Y15" s="68"/>
      <c r="Z15" s="37"/>
      <c r="AA15" s="37"/>
      <c r="AB15" s="65"/>
    </row>
    <row r="16">
      <c r="S16" s="66" t="s">
        <v>151</v>
      </c>
      <c r="T16" s="65"/>
      <c r="U16" s="37"/>
      <c r="V16" s="37"/>
      <c r="W16" s="37" t="str">
        <f>IFERROR(__xludf.DUMMYFUNCTION("""COMPUTED_VALUE"""),"Twilight")</f>
        <v>Twilight</v>
      </c>
      <c r="X16" s="37">
        <f>IFERROR(__xludf.DUMMYFUNCTION("""COMPUTED_VALUE"""),9.0)</f>
        <v>9</v>
      </c>
      <c r="Y16" s="68"/>
      <c r="Z16" s="37"/>
      <c r="AA16" s="37"/>
      <c r="AB16" s="65"/>
    </row>
    <row r="17">
      <c r="B17" s="38" t="s">
        <v>7</v>
      </c>
      <c r="C17" s="38" t="s">
        <v>8</v>
      </c>
      <c r="D17" s="38" t="s">
        <v>9</v>
      </c>
      <c r="E17" s="80" t="s">
        <v>10</v>
      </c>
      <c r="F17" s="80" t="s">
        <v>13</v>
      </c>
      <c r="G17" s="80" t="s">
        <v>14</v>
      </c>
      <c r="H17" s="80" t="s">
        <v>15</v>
      </c>
      <c r="I17" s="80" t="s">
        <v>16</v>
      </c>
      <c r="J17" s="80" t="s">
        <v>152</v>
      </c>
      <c r="K17" s="38"/>
      <c r="S17" s="66" t="s">
        <v>153</v>
      </c>
      <c r="T17" s="65"/>
      <c r="U17" s="37"/>
      <c r="V17" s="37"/>
      <c r="W17" s="37" t="str">
        <f>IFERROR(__xludf.DUMMYFUNCTION("""COMPUTED_VALUE"""),"Voodoo")</f>
        <v>Voodoo</v>
      </c>
      <c r="X17" s="37">
        <f>IFERROR(__xludf.DUMMYFUNCTION("""COMPUTED_VALUE"""),9.0)</f>
        <v>9</v>
      </c>
      <c r="Y17" s="68"/>
      <c r="Z17" s="37"/>
      <c r="AA17" s="37"/>
      <c r="AB17" s="65"/>
    </row>
    <row r="18">
      <c r="B18" s="78">
        <f>(B2+C2+D2)+((B13-1)*IF(E2,2,1))+SUM(C28:C48)</f>
        <v>219</v>
      </c>
      <c r="C18" s="78">
        <f>(B3+C3+D3)+((B13-1)*IF(E2,2,1))+SUM(B28:B48)</f>
        <v>175219</v>
      </c>
      <c r="D18" s="78">
        <f>(B4+C4+D4)+((B13-1)*IF(E2,2,1))+SUM(D28:D48)</f>
        <v>219</v>
      </c>
      <c r="E18" s="77">
        <v>5.0</v>
      </c>
      <c r="F18" s="77">
        <v>5.0</v>
      </c>
      <c r="G18" s="77">
        <v>75.0</v>
      </c>
      <c r="H18" s="77">
        <v>5.0</v>
      </c>
      <c r="I18" s="77">
        <v>5.0</v>
      </c>
      <c r="J18" s="77">
        <v>5.0</v>
      </c>
      <c r="K18" s="78"/>
      <c r="S18" s="66" t="s">
        <v>154</v>
      </c>
      <c r="T18" s="65"/>
      <c r="U18" s="37"/>
      <c r="V18" s="37"/>
      <c r="W18" s="37" t="str">
        <f>IFERROR(__xludf.DUMMYFUNCTION("""COMPUTED_VALUE"""),"Blood")</f>
        <v>Blood</v>
      </c>
      <c r="X18" s="37">
        <f>IFERROR(__xludf.DUMMYFUNCTION("""COMPUTED_VALUE"""),9.0)</f>
        <v>9</v>
      </c>
      <c r="Y18" s="68"/>
      <c r="Z18" s="37"/>
      <c r="AA18" s="37"/>
      <c r="AB18" s="65"/>
    </row>
    <row r="19">
      <c r="D19" s="76" t="s">
        <v>155</v>
      </c>
      <c r="E19" s="77"/>
      <c r="F19" s="77"/>
      <c r="G19" s="77"/>
      <c r="H19" s="77"/>
      <c r="I19" s="77">
        <v>5.0</v>
      </c>
      <c r="J19" s="77"/>
      <c r="S19" s="66" t="s">
        <v>156</v>
      </c>
      <c r="T19" s="65"/>
      <c r="U19" s="37"/>
      <c r="V19" s="37"/>
      <c r="W19" s="37" t="str">
        <f>IFERROR(__xludf.DUMMYFUNCTION("""COMPUTED_VALUE"""),"Delta")</f>
        <v>Delta</v>
      </c>
      <c r="X19" s="37">
        <f>IFERROR(__xludf.DUMMYFUNCTION("""COMPUTED_VALUE"""),9.0)</f>
        <v>9</v>
      </c>
      <c r="Y19" s="68"/>
      <c r="Z19" s="37"/>
      <c r="AA19" s="37"/>
      <c r="AB19" s="65"/>
    </row>
    <row r="20">
      <c r="D20" s="76" t="s">
        <v>157</v>
      </c>
      <c r="E20" s="81">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20</v>
      </c>
      <c r="F20" s="81">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8</v>
      </c>
      <c r="G20" s="81">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1">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1">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20</v>
      </c>
      <c r="J20" s="81">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6" t="s">
        <v>158</v>
      </c>
      <c r="T20" s="37"/>
      <c r="U20" s="37"/>
      <c r="V20" s="37"/>
      <c r="W20" s="37" t="str">
        <f>IFERROR(__xludf.DUMMYFUNCTION("""COMPUTED_VALUE"""),"Zen")</f>
        <v>Zen</v>
      </c>
      <c r="X20" s="37">
        <f>IFERROR(__xludf.DUMMYFUNCTION("""COMPUTED_VALUE"""),9.0)</f>
        <v>9</v>
      </c>
      <c r="Y20" s="68"/>
      <c r="Z20" s="37"/>
      <c r="AA20" s="37"/>
      <c r="AB20" s="65"/>
    </row>
    <row r="21">
      <c r="S21" s="66" t="s">
        <v>159</v>
      </c>
      <c r="T21" s="37"/>
      <c r="U21" s="37"/>
      <c r="V21" s="37"/>
      <c r="W21" s="37" t="str">
        <f>IFERROR(__xludf.DUMMYFUNCTION("""COMPUTED_VALUE"""),"Astral")</f>
        <v>Astral</v>
      </c>
      <c r="X21" s="37">
        <f>IFERROR(__xludf.DUMMYFUNCTION("""COMPUTED_VALUE"""),9.0)</f>
        <v>9</v>
      </c>
      <c r="Y21" s="68"/>
      <c r="Z21" s="37"/>
      <c r="AA21" s="37"/>
      <c r="AB21" s="65"/>
    </row>
    <row r="22">
      <c r="B22" s="38" t="s">
        <v>111</v>
      </c>
      <c r="C22" s="38" t="s">
        <v>116</v>
      </c>
      <c r="D22" s="38" t="s">
        <v>122</v>
      </c>
      <c r="E22" s="38" t="s">
        <v>127</v>
      </c>
      <c r="F22" s="38" t="s">
        <v>130</v>
      </c>
      <c r="H22" s="82" t="s">
        <v>160</v>
      </c>
      <c r="I22" s="83" t="s">
        <v>161</v>
      </c>
      <c r="J22" s="84"/>
      <c r="K22" s="84"/>
      <c r="L22" s="85"/>
      <c r="S22" s="66" t="s">
        <v>162</v>
      </c>
      <c r="T22" s="65"/>
      <c r="U22" s="37"/>
      <c r="V22" s="37"/>
      <c r="W22" s="37" t="str">
        <f>IFERROR(__xludf.DUMMYFUNCTION("""COMPUTED_VALUE"""),"Celestial")</f>
        <v>Celestial</v>
      </c>
      <c r="X22" s="37">
        <f>IFERROR(__xludf.DUMMYFUNCTION("""COMPUTED_VALUE"""),9.0)</f>
        <v>9</v>
      </c>
      <c r="Y22" s="68"/>
      <c r="Z22" s="37"/>
      <c r="AA22" s="37"/>
      <c r="AB22" s="65"/>
    </row>
    <row r="23">
      <c r="B23" s="78">
        <f>(B5+C5+D5)+((B13-1)*IF(E2,2,1))+(G20*5)+SUM(E28:E48)</f>
        <v>594</v>
      </c>
      <c r="C23" s="78">
        <f>(B6+C6+D6)+((B13-1)*IF(E2,2,1))+(G20*5)+SUM(F28:F48)</f>
        <v>594</v>
      </c>
      <c r="D23" s="78">
        <f>(B7+C7+D7)+((B13-1)*IF(E2,2,1))+SUM(G28:G48)</f>
        <v>219</v>
      </c>
      <c r="E23" s="78">
        <f>(B8+C8+D8)+((B13-1)*IF(E2,2,1))+SUM(H28:H48)</f>
        <v>219</v>
      </c>
      <c r="F23" s="78">
        <f>(B9+C9+D9)+((B13-1)*IF(E2,2,1))+SUM(I28:I48)</f>
        <v>219</v>
      </c>
      <c r="H23" s="72" t="s">
        <v>163</v>
      </c>
      <c r="I23" s="42" t="str">
        <f>IFERROR(VLOOKUP($I$22,Factions!$A$2:$Z993,MATCH("Faction Ability 1",Factions!$A$1:$Z$1,0),FALSE)&amp;" - "&amp;VLOOKUP($I$22,Factions!$A$2:$Z993,MATCH("Ability Description 1",Factions!$A$1:$Z$1,0),FALSE),"")</f>
        <v>Threatening Stare - +5 permanent Intimidation.</v>
      </c>
      <c r="L23" s="35"/>
      <c r="S23" s="66" t="s">
        <v>164</v>
      </c>
      <c r="T23" s="65"/>
      <c r="U23" s="37"/>
      <c r="V23" s="37"/>
      <c r="W23" s="37"/>
      <c r="X23" s="37"/>
      <c r="Y23" s="68"/>
      <c r="Z23" s="65"/>
      <c r="AA23" s="37"/>
      <c r="AB23" s="65"/>
    </row>
    <row r="24">
      <c r="A24" s="76"/>
      <c r="H24" s="86"/>
      <c r="I24" s="42" t="str">
        <f>IFERROR(VLOOKUP($I$22,Factions!$A$2:$Z993,MATCH("Faction Ability 2",Factions!$A$1:$Z$1,0),FALSE)&amp;" - "&amp;VLOOKUP($I$22,Factions!$A$2:$Z993,MATCH("Ability Description 2",Factions!$A$1:$Z$1,0),FALSE),"")</f>
        <v>Blood Plague - All Weapons now deal Bleeding X per round where X is equal to your attack stat.</v>
      </c>
      <c r="L24" s="35"/>
      <c r="S24" s="66" t="s">
        <v>165</v>
      </c>
      <c r="T24" s="37"/>
      <c r="U24" s="37"/>
      <c r="V24" s="37"/>
      <c r="W24" s="37"/>
      <c r="X24" s="37"/>
      <c r="Y24" s="68"/>
      <c r="Z24" s="37"/>
      <c r="AA24" s="37"/>
      <c r="AB24" s="65"/>
    </row>
    <row r="25">
      <c r="A25" s="76"/>
      <c r="H25" s="87"/>
      <c r="I25" s="88" t="str">
        <f>IFERROR(VLOOKUP($I$22,Factions!$A$2:$Z993,MATCH("Faction Ability 3",Factions!$A$1:$Z$1,0),FALSE)&amp;" - "&amp;VLOOKUP($I$22,Factions!$A$2:$Z993,MATCH("Ability Description 3",Factions!$A$1:$Z$1,0),FALSE),"")</f>
        <v>Unwavering Authority - 20% chance of not having to battle a non corrupt guard. Unaffected by bonuses.</v>
      </c>
      <c r="J25" s="89"/>
      <c r="K25" s="89"/>
      <c r="L25" s="8"/>
    </row>
    <row r="26">
      <c r="A26" s="76"/>
      <c r="S26" s="16" t="b">
        <f>IF(ISBLANK($F$10),FALSE,IF(VLOOKUP($I$22,Factions!$A$2:$Z993,MATCH($F$10,Factions!$A$1:$Z$1,0),FALSE),FALSE,TRUE))</f>
        <v>0</v>
      </c>
    </row>
    <row r="27">
      <c r="B27" s="63" t="s">
        <v>166</v>
      </c>
      <c r="C27" s="63" t="s">
        <v>167</v>
      </c>
      <c r="D27" s="63" t="s">
        <v>168</v>
      </c>
      <c r="E27" s="63" t="s">
        <v>169</v>
      </c>
      <c r="F27" s="63" t="s">
        <v>170</v>
      </c>
      <c r="G27" s="63" t="s">
        <v>171</v>
      </c>
      <c r="H27" s="63" t="s">
        <v>172</v>
      </c>
      <c r="I27" s="63" t="s">
        <v>173</v>
      </c>
    </row>
    <row r="28">
      <c r="A28" s="77" t="s">
        <v>30</v>
      </c>
      <c r="B28" s="47">
        <v>25000.0</v>
      </c>
      <c r="C28" s="47"/>
      <c r="D28" s="47"/>
      <c r="E28" s="47"/>
      <c r="F28" s="47"/>
      <c r="G28" s="47"/>
      <c r="H28" s="47"/>
      <c r="I28" s="47"/>
    </row>
    <row r="29">
      <c r="A29" s="77" t="s">
        <v>174</v>
      </c>
      <c r="B29" s="47"/>
      <c r="C29" s="47"/>
      <c r="D29" s="47"/>
      <c r="E29" s="47"/>
      <c r="F29" s="47"/>
      <c r="G29" s="47"/>
      <c r="H29" s="47"/>
      <c r="I29" s="47"/>
    </row>
    <row r="30">
      <c r="A30" s="77" t="s">
        <v>175</v>
      </c>
      <c r="B30" s="47"/>
      <c r="C30" s="47"/>
      <c r="D30" s="47"/>
      <c r="E30" s="47"/>
      <c r="F30" s="47"/>
      <c r="G30" s="47"/>
      <c r="H30" s="47"/>
      <c r="I30" s="47"/>
    </row>
    <row r="31">
      <c r="A31" s="77" t="s">
        <v>176</v>
      </c>
      <c r="B31" s="47"/>
      <c r="C31" s="47"/>
      <c r="D31" s="47"/>
      <c r="E31" s="47"/>
      <c r="F31" s="47"/>
      <c r="G31" s="47"/>
      <c r="H31" s="47"/>
      <c r="I31" s="47"/>
    </row>
    <row r="32">
      <c r="A32" s="77" t="s">
        <v>37</v>
      </c>
      <c r="B32" s="47">
        <v>25000.0</v>
      </c>
      <c r="C32" s="47"/>
      <c r="D32" s="47"/>
      <c r="E32" s="47"/>
      <c r="F32" s="47"/>
      <c r="G32" s="47"/>
      <c r="H32" s="47"/>
      <c r="I32" s="47"/>
    </row>
    <row r="33">
      <c r="A33" s="77" t="s">
        <v>40</v>
      </c>
      <c r="B33" s="47">
        <v>25000.0</v>
      </c>
      <c r="C33" s="47"/>
      <c r="D33" s="47"/>
      <c r="E33" s="47"/>
      <c r="F33" s="47"/>
      <c r="G33" s="47"/>
      <c r="H33" s="47"/>
      <c r="I33" s="47"/>
    </row>
    <row r="34">
      <c r="A34" s="77" t="s">
        <v>43</v>
      </c>
      <c r="B34" s="47">
        <v>25000.0</v>
      </c>
      <c r="C34" s="47"/>
      <c r="D34" s="47"/>
      <c r="E34" s="47"/>
      <c r="F34" s="47"/>
      <c r="G34" s="47"/>
      <c r="H34" s="47"/>
      <c r="I34" s="47"/>
    </row>
    <row r="35">
      <c r="A35" s="77" t="s">
        <v>177</v>
      </c>
      <c r="B35" s="47">
        <v>25000.0</v>
      </c>
      <c r="C35" s="47"/>
      <c r="D35" s="47"/>
      <c r="E35" s="47"/>
      <c r="F35" s="47"/>
      <c r="G35" s="47"/>
      <c r="H35" s="47"/>
      <c r="I35" s="47"/>
    </row>
    <row r="36">
      <c r="A36" s="77" t="s">
        <v>178</v>
      </c>
      <c r="B36" s="47"/>
      <c r="C36" s="47"/>
      <c r="D36" s="47"/>
      <c r="E36" s="47"/>
      <c r="F36" s="47"/>
      <c r="G36" s="47"/>
      <c r="H36" s="47"/>
      <c r="I36" s="47"/>
    </row>
    <row r="37">
      <c r="A37" s="77" t="s">
        <v>179</v>
      </c>
      <c r="B37" s="47"/>
      <c r="C37" s="47"/>
      <c r="D37" s="47"/>
      <c r="E37" s="47"/>
      <c r="F37" s="47"/>
      <c r="G37" s="47"/>
      <c r="H37" s="47"/>
      <c r="I37" s="47"/>
    </row>
    <row r="38">
      <c r="A38" s="77" t="s">
        <v>180</v>
      </c>
      <c r="B38" s="47"/>
      <c r="C38" s="47"/>
      <c r="D38" s="47"/>
      <c r="E38" s="47"/>
      <c r="F38" s="47"/>
      <c r="G38" s="47"/>
      <c r="H38" s="47"/>
      <c r="I38" s="47"/>
    </row>
    <row r="39">
      <c r="A39" s="77" t="s">
        <v>181</v>
      </c>
      <c r="B39" s="47"/>
      <c r="C39" s="47"/>
      <c r="D39" s="47"/>
      <c r="E39" s="47"/>
      <c r="F39" s="47"/>
      <c r="G39" s="47"/>
      <c r="H39" s="47"/>
      <c r="I39" s="47"/>
    </row>
    <row r="40">
      <c r="A40" s="77" t="s">
        <v>182</v>
      </c>
      <c r="B40" s="47"/>
      <c r="C40" s="47"/>
      <c r="D40" s="47"/>
      <c r="E40" s="47"/>
      <c r="F40" s="47"/>
      <c r="G40" s="47"/>
      <c r="H40" s="47"/>
      <c r="I40" s="47"/>
    </row>
    <row r="41">
      <c r="A41" s="77" t="s">
        <v>183</v>
      </c>
      <c r="B41" s="47"/>
      <c r="C41" s="47"/>
      <c r="D41" s="47"/>
      <c r="E41" s="47"/>
      <c r="F41" s="47"/>
      <c r="G41" s="47"/>
      <c r="H41" s="47"/>
      <c r="I41" s="47"/>
    </row>
    <row r="42">
      <c r="A42" s="77" t="s">
        <v>184</v>
      </c>
      <c r="B42" s="47"/>
      <c r="C42" s="47"/>
      <c r="D42" s="47"/>
      <c r="E42" s="47"/>
      <c r="F42" s="47"/>
      <c r="G42" s="47"/>
      <c r="H42" s="47"/>
      <c r="I42" s="47"/>
    </row>
    <row r="43">
      <c r="A43" s="77" t="s">
        <v>185</v>
      </c>
      <c r="B43" s="47"/>
      <c r="C43" s="47"/>
      <c r="D43" s="47"/>
      <c r="E43" s="47"/>
      <c r="F43" s="47"/>
      <c r="G43" s="47"/>
      <c r="H43" s="47"/>
      <c r="I43" s="47"/>
    </row>
    <row r="44">
      <c r="A44" s="77" t="s">
        <v>186</v>
      </c>
      <c r="B44" s="47"/>
      <c r="C44" s="47"/>
      <c r="D44" s="47"/>
      <c r="E44" s="47"/>
      <c r="F44" s="47"/>
      <c r="G44" s="47"/>
      <c r="H44" s="47"/>
      <c r="I44" s="47"/>
    </row>
    <row r="45">
      <c r="A45" s="77" t="s">
        <v>187</v>
      </c>
      <c r="B45" s="47"/>
      <c r="C45" s="47"/>
      <c r="D45" s="47"/>
      <c r="E45" s="47"/>
      <c r="F45" s="47"/>
      <c r="G45" s="47"/>
      <c r="H45" s="47"/>
      <c r="I45" s="47"/>
    </row>
    <row r="46">
      <c r="A46" s="77" t="s">
        <v>188</v>
      </c>
      <c r="B46" s="47"/>
      <c r="C46" s="47"/>
      <c r="D46" s="47"/>
      <c r="E46" s="47"/>
      <c r="F46" s="47"/>
      <c r="G46" s="47"/>
      <c r="H46" s="47"/>
      <c r="I46" s="47"/>
    </row>
    <row r="47">
      <c r="A47" s="77" t="s">
        <v>62</v>
      </c>
      <c r="B47" s="47">
        <v>25000.0</v>
      </c>
      <c r="C47" s="47"/>
      <c r="D47" s="47"/>
      <c r="E47" s="47"/>
      <c r="F47" s="47"/>
      <c r="G47" s="47"/>
      <c r="H47" s="47"/>
      <c r="I47" s="47"/>
    </row>
    <row r="48">
      <c r="A48" s="77" t="s">
        <v>65</v>
      </c>
      <c r="B48" s="47">
        <v>25000.0</v>
      </c>
      <c r="C48" s="47"/>
      <c r="D48" s="47"/>
      <c r="E48" s="47"/>
      <c r="F48" s="47"/>
      <c r="G48" s="47"/>
      <c r="H48" s="47"/>
      <c r="I48" s="47"/>
    </row>
    <row r="51">
      <c r="B51" s="38" t="s">
        <v>189</v>
      </c>
    </row>
    <row r="52">
      <c r="A52" s="38" t="s">
        <v>190</v>
      </c>
      <c r="B52" s="38" t="s">
        <v>191</v>
      </c>
      <c r="C52" s="38" t="s">
        <v>192</v>
      </c>
      <c r="E52" s="38"/>
    </row>
    <row r="53">
      <c r="A53" s="14" t="s">
        <v>193</v>
      </c>
      <c r="B53" s="14" t="b">
        <v>0</v>
      </c>
      <c r="C53" s="16"/>
    </row>
    <row r="54">
      <c r="A54" s="14" t="s">
        <v>194</v>
      </c>
      <c r="B54" s="14" t="b">
        <v>0</v>
      </c>
      <c r="C54" s="16"/>
    </row>
    <row r="55">
      <c r="A55" s="14" t="s">
        <v>195</v>
      </c>
      <c r="B55" s="14" t="b">
        <v>0</v>
      </c>
      <c r="C55" s="16"/>
    </row>
    <row r="56">
      <c r="A56" s="14" t="s">
        <v>196</v>
      </c>
      <c r="B56" s="14" t="b">
        <v>0</v>
      </c>
      <c r="C56" s="16"/>
    </row>
    <row r="57">
      <c r="A57" s="14" t="s">
        <v>197</v>
      </c>
      <c r="B57" s="14" t="b">
        <v>0</v>
      </c>
      <c r="C57" s="16"/>
    </row>
    <row r="58">
      <c r="A58" s="14" t="s">
        <v>198</v>
      </c>
      <c r="B58" s="14" t="b">
        <v>0</v>
      </c>
      <c r="C58" s="16"/>
    </row>
    <row r="59">
      <c r="A59" s="14" t="s">
        <v>199</v>
      </c>
      <c r="B59" s="14" t="b">
        <v>0</v>
      </c>
      <c r="C59" s="16"/>
    </row>
    <row r="60">
      <c r="A60" s="14" t="s">
        <v>200</v>
      </c>
      <c r="B60" s="14" t="b">
        <v>0</v>
      </c>
      <c r="C60" s="16"/>
    </row>
    <row r="61">
      <c r="A61" s="14" t="s">
        <v>201</v>
      </c>
      <c r="B61" s="14" t="b">
        <v>0</v>
      </c>
      <c r="C61" s="16"/>
    </row>
    <row r="62">
      <c r="A62" s="14" t="s">
        <v>202</v>
      </c>
      <c r="B62" s="14" t="b">
        <v>0</v>
      </c>
      <c r="C62" s="16"/>
    </row>
    <row r="63">
      <c r="A63" s="14" t="s">
        <v>203</v>
      </c>
      <c r="B63" s="14" t="b">
        <v>0</v>
      </c>
      <c r="C63" s="16"/>
    </row>
    <row r="64">
      <c r="A64" s="14" t="s">
        <v>204</v>
      </c>
      <c r="B64" s="14" t="b">
        <v>0</v>
      </c>
      <c r="C64" s="16"/>
    </row>
    <row r="65">
      <c r="A65" s="14" t="s">
        <v>205</v>
      </c>
      <c r="B65" s="14" t="b">
        <v>0</v>
      </c>
      <c r="C65" s="16"/>
    </row>
    <row r="66">
      <c r="A66" s="14" t="s">
        <v>206</v>
      </c>
      <c r="B66" s="14" t="b">
        <v>0</v>
      </c>
      <c r="C66" s="16"/>
    </row>
    <row r="67">
      <c r="A67" s="14" t="s">
        <v>207</v>
      </c>
      <c r="B67" s="14" t="b">
        <v>0</v>
      </c>
      <c r="C67" s="16"/>
    </row>
    <row r="68">
      <c r="A68" s="14" t="s">
        <v>208</v>
      </c>
      <c r="B68" s="14" t="b">
        <v>0</v>
      </c>
      <c r="C68" s="16"/>
    </row>
    <row r="69">
      <c r="A69" s="14" t="s">
        <v>209</v>
      </c>
      <c r="B69" s="14" t="b">
        <v>0</v>
      </c>
      <c r="C69" s="16"/>
    </row>
    <row r="70">
      <c r="A70" s="14" t="s">
        <v>210</v>
      </c>
      <c r="B70" s="14" t="b">
        <v>0</v>
      </c>
      <c r="C70" s="16"/>
    </row>
    <row r="71">
      <c r="A71" s="14" t="s">
        <v>211</v>
      </c>
      <c r="B71" s="14" t="b">
        <v>0</v>
      </c>
      <c r="C71" s="16"/>
    </row>
    <row r="72">
      <c r="A72" s="14" t="s">
        <v>212</v>
      </c>
      <c r="B72" s="14" t="b">
        <v>0</v>
      </c>
      <c r="C72" s="16"/>
    </row>
    <row r="73">
      <c r="A73" s="14" t="s">
        <v>213</v>
      </c>
      <c r="B73" s="14" t="b">
        <v>0</v>
      </c>
      <c r="C73" s="16"/>
    </row>
    <row r="74">
      <c r="A74" s="14" t="s">
        <v>214</v>
      </c>
      <c r="B74" s="14" t="b">
        <v>0</v>
      </c>
      <c r="C74" s="16"/>
    </row>
    <row r="75">
      <c r="A75" s="14" t="s">
        <v>215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216</v>
      </c>
      <c r="B1" s="14" t="s">
        <v>217</v>
      </c>
      <c r="C1" s="14" t="s">
        <v>218</v>
      </c>
      <c r="D1" s="14" t="s">
        <v>219</v>
      </c>
      <c r="E1" s="14" t="s">
        <v>189</v>
      </c>
      <c r="F1" s="14" t="s">
        <v>220</v>
      </c>
      <c r="G1" s="14" t="s">
        <v>221</v>
      </c>
    </row>
    <row r="2">
      <c r="A2" s="68" t="s">
        <v>102</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8" t="s">
        <v>105</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8" t="s">
        <v>110</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8" t="s">
        <v>115</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8" t="s">
        <v>121</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8" t="s">
        <v>126</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8" t="s">
        <v>129</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8" t="s">
        <v>133</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8" t="s">
        <v>135</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8" t="s">
        <v>136</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8" t="s">
        <v>142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8" t="s">
        <v>144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8" t="s">
        <v>148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8" t="s">
        <v>150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8" t="s">
        <v>151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8" t="s">
        <v>153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8" t="s">
        <v>154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8" t="s">
        <v>156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8" t="s">
        <v>158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8" t="s">
        <v>159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8" t="s">
        <v>162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8" t="s">
        <v>164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8" t="s">
        <v>165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222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0" t="s">
        <v>24</v>
      </c>
      <c r="B1" s="90" t="s">
        <v>192</v>
      </c>
      <c r="C1" s="91" t="s">
        <v>223</v>
      </c>
      <c r="D1" s="91" t="s">
        <v>224</v>
      </c>
      <c r="E1" s="91" t="s">
        <v>225</v>
      </c>
      <c r="F1" s="91" t="s">
        <v>26</v>
      </c>
      <c r="G1" s="91" t="s">
        <v>226</v>
      </c>
      <c r="H1" s="91" t="s">
        <v>190</v>
      </c>
      <c r="I1" s="92"/>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3" t="s">
        <v>227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4" t="s">
        <v>228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4" t="s">
        <v>229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4" t="s">
        <v>230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4" t="s">
        <v>231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4" t="s">
        <v>232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4" t="s">
        <v>233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4"/>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5"/>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5"/>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5"/>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5"/>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5"/>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4"/>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5"/>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5"/>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5"/>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5"/>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5"/>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5"/>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5"/>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5"/>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5"/>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5"/>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5"/>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5"/>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5"/>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5"/>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5"/>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5"/>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5"/>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5"/>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5"/>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5"/>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5"/>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5"/>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5"/>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5"/>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5"/>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5"/>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5"/>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5"/>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5"/>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5"/>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5"/>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5"/>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5"/>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5"/>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6"/>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IFERROR(__xludf.DUMMYFUNCTION("""COMPUTED_VALUE"""),"Arrest")</f>
        <v>Arrest</v>
      </c>
      <c r="B197" s="16">
        <f>IFERROR(__xludf.DUMMYFUNCTION("""COMPUTED_VALUE"""),1.0)</f>
        <v>1</v>
      </c>
      <c r="C197" s="16">
        <f>IFERROR(__xludf.DUMMYFUNCTION("""COMPUTED_VALUE"""),0.0)</f>
        <v>0</v>
      </c>
      <c r="D197" s="16"/>
      <c r="E197"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IFERROR(__xludf.DUMMYFUNCTION("""COMPUTED_VALUE"""),"Bite")</f>
        <v>Bite</v>
      </c>
      <c r="B198" s="16">
        <f>IFERROR(__xludf.DUMMYFUNCTION("""COMPUTED_VALUE"""),1.0)</f>
        <v>1</v>
      </c>
      <c r="C198" s="16">
        <f>IFERROR(__xludf.DUMMYFUNCTION("""COMPUTED_VALUE"""),0.0)</f>
        <v>0</v>
      </c>
      <c r="D198" s="16"/>
      <c r="E198" s="16" t="str">
        <f>IFERROR(__xludf.DUMMYFUNCTION("""COMPUTED_VALUE"""),"X*2 damage of your primary element where X is equal to your attack. 50% chance to hit twice")</f>
        <v>X*2 damage of your primary element where X is equal to your attack. 50% chance to hit twice</v>
      </c>
      <c r="F198" s="16" t="str">
        <f>IFERROR(__xludf.DUMMYFUNCTION("""COMPUTED_VALUE"""),"Natural/Hit or Miss")</f>
        <v>Natural/Hit or Miss</v>
      </c>
      <c r="G198" s="16">
        <f>IFERROR(__xludf.DUMMYFUNCTION("""COMPUTED_VALUE"""),1.0)</f>
        <v>1</v>
      </c>
      <c r="H198" s="16" t="str">
        <f>IFERROR(__xludf.DUMMYFUNCTION("""COMPUTED_VALUE"""),"Physical")</f>
        <v>Physical</v>
      </c>
    </row>
    <row r="199">
      <c r="A199" s="16" t="str">
        <f>IFERROR(__xludf.DUMMYFUNCTION("""COMPUTED_VALUE"""),"Body armor")</f>
        <v>Body armor</v>
      </c>
      <c r="B199" s="16">
        <f>IFERROR(__xludf.DUMMYFUNCTION("""COMPUTED_VALUE"""),1.0)</f>
        <v>1</v>
      </c>
      <c r="C199" s="16">
        <f>IFERROR(__xludf.DUMMYFUNCTION("""COMPUTED_VALUE"""),10.0)</f>
        <v>10</v>
      </c>
      <c r="D199" s="16"/>
      <c r="E199" s="16" t="str">
        <f>IFERROR(__xludf.DUMMYFUNCTION("""COMPUTED_VALUE"""),"100 defense until the end of the round")</f>
        <v>100 defense until the end of the round</v>
      </c>
      <c r="F199" s="16" t="str">
        <f>IFERROR(__xludf.DUMMYFUNCTION("""COMPUTED_VALUE"""),"Will Succeed")</f>
        <v>Will Succeed</v>
      </c>
      <c r="G199" s="16"/>
      <c r="H199" s="16" t="str">
        <f>IFERROR(__xludf.DUMMYFUNCTION("""COMPUTED_VALUE"""),"Physical")</f>
        <v>Physical</v>
      </c>
    </row>
    <row r="200">
      <c r="A200" s="16" t="str">
        <f>IFERROR(__xludf.DUMMYFUNCTION("""COMPUTED_VALUE"""),"Charge")</f>
        <v>Charge</v>
      </c>
      <c r="B200" s="16">
        <f>IFERROR(__xludf.DUMMYFUNCTION("""COMPUTED_VALUE"""),2.0)</f>
        <v>2</v>
      </c>
      <c r="C200" s="16">
        <f>IFERROR(__xludf.DUMMYFUNCTION("""COMPUTED_VALUE"""),20.0)</f>
        <v>20</v>
      </c>
      <c r="D200" s="16"/>
      <c r="E200" s="16" t="str">
        <f>IFERROR(__xludf.DUMMYFUNCTION("""COMPUTED_VALUE"""),"X2 additional damage for the Caster for 3 rounds.")</f>
        <v>X2 additional damage for the Caster for 3 rounds.</v>
      </c>
      <c r="F200" s="16" t="str">
        <f>IFERROR(__xludf.DUMMYFUNCTION("""COMPUTED_VALUE"""),"Will Succeed")</f>
        <v>Will Succeed</v>
      </c>
      <c r="G200" s="16"/>
      <c r="H200" s="16" t="str">
        <f>IFERROR(__xludf.DUMMYFUNCTION("""COMPUTED_VALUE"""),"Physical")</f>
        <v>Physical</v>
      </c>
    </row>
    <row r="201">
      <c r="A201" s="16" t="str">
        <f>IFERROR(__xludf.DUMMYFUNCTION("""COMPUTED_VALUE"""),"Confiscate")</f>
        <v>Confiscate</v>
      </c>
      <c r="B201" s="16">
        <f>IFERROR(__xludf.DUMMYFUNCTION("""COMPUTED_VALUE"""),1.0)</f>
        <v>1</v>
      </c>
      <c r="C201" s="16">
        <f>IFERROR(__xludf.DUMMYFUNCTION("""COMPUTED_VALUE"""),0.0)</f>
        <v>0</v>
      </c>
      <c r="D201" s="16"/>
      <c r="E201"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1" s="16" t="str">
        <f>IFERROR(__xludf.DUMMYFUNCTION("""COMPUTED_VALUE"""),"Natural/Fail or Succeed")</f>
        <v>Natural/Fail or Succeed</v>
      </c>
      <c r="G201" s="16">
        <f>IFERROR(__xludf.DUMMYFUNCTION("""COMPUTED_VALUE"""),1.0)</f>
        <v>1</v>
      </c>
      <c r="H201" s="16" t="str">
        <f>IFERROR(__xludf.DUMMYFUNCTION("""COMPUTED_VALUE"""),"Physical")</f>
        <v>Physical</v>
      </c>
    </row>
    <row r="202">
      <c r="A202" s="16" t="str">
        <f>IFERROR(__xludf.DUMMYFUNCTION("""COMPUTED_VALUE"""),"Decrease")</f>
        <v>Decrease</v>
      </c>
      <c r="B202" s="16">
        <f>IFERROR(__xludf.DUMMYFUNCTION("""COMPUTED_VALUE"""),7.0)</f>
        <v>7</v>
      </c>
      <c r="C202" s="16">
        <f>IFERROR(__xludf.DUMMYFUNCTION("""COMPUTED_VALUE"""),100.0)</f>
        <v>100</v>
      </c>
      <c r="D202" s="16"/>
      <c r="E202" s="16" t="str">
        <f>IFERROR(__xludf.DUMMYFUNCTION("""COMPUTED_VALUE"""),"Decrease targets attack, defense, and accuracy permanently by 7000.")</f>
        <v>Decrease targets attack, defense, and accuracy permanently by 7000.</v>
      </c>
      <c r="F202" s="16" t="str">
        <f>IFERROR(__xludf.DUMMYFUNCTION("""COMPUTED_VALUE"""),"Fail/succeed")</f>
        <v>Fail/succeed</v>
      </c>
      <c r="G202" s="16"/>
      <c r="H202" s="16" t="str">
        <f>IFERROR(__xludf.DUMMYFUNCTION("""COMPUTED_VALUE"""),"Physical")</f>
        <v>Physical</v>
      </c>
    </row>
    <row r="203">
      <c r="A203" s="16" t="str">
        <f>IFERROR(__xludf.DUMMYFUNCTION("""COMPUTED_VALUE"""),"Defender's Tenacity")</f>
        <v>Defender's Tenacity</v>
      </c>
      <c r="B203" s="16">
        <f>IFERROR(__xludf.DUMMYFUNCTION("""COMPUTED_VALUE"""),5.0)</f>
        <v>5</v>
      </c>
      <c r="C203" s="16" t="str">
        <f>IFERROR(__xludf.DUMMYFUNCTION("""COMPUTED_VALUE"""),"X")</f>
        <v>X</v>
      </c>
      <c r="D203" s="16"/>
      <c r="E203" s="16" t="str">
        <f>IFERROR(__xludf.DUMMYFUNCTION("""COMPUTED_VALUE"""),"Roll a D20 for additional defense, times it by the amount of mana you pay.")</f>
        <v>Roll a D20 for additional defense, times it by the amount of mana you pay.</v>
      </c>
      <c r="F203" s="16" t="str">
        <f>IFERROR(__xludf.DUMMYFUNCTION("""COMPUTED_VALUE"""),"Will Succeed")</f>
        <v>Will Succeed</v>
      </c>
      <c r="G203" s="16" t="str">
        <f>IFERROR(__xludf.DUMMYFUNCTION("""COMPUTED_VALUE"""),"Self")</f>
        <v>Self</v>
      </c>
      <c r="H203" s="16" t="str">
        <f>IFERROR(__xludf.DUMMYFUNCTION("""COMPUTED_VALUE"""),"Physical")</f>
        <v>Physical</v>
      </c>
    </row>
    <row r="204">
      <c r="A204" s="16" t="str">
        <f>IFERROR(__xludf.DUMMYFUNCTION("""COMPUTED_VALUE"""),"Evil touch")</f>
        <v>Evil touch</v>
      </c>
      <c r="B204" s="16">
        <f>IFERROR(__xludf.DUMMYFUNCTION("""COMPUTED_VALUE"""),1.0)</f>
        <v>1</v>
      </c>
      <c r="C204" s="16">
        <f>IFERROR(__xludf.DUMMYFUNCTION("""COMPUTED_VALUE"""),10.0)</f>
        <v>10</v>
      </c>
      <c r="D204" s="16"/>
      <c r="E204" s="16" t="str">
        <f>IFERROR(__xludf.DUMMYFUNCTION("""COMPUTED_VALUE"""),"50% chance of poison 100")</f>
        <v>50% chance of poison 100</v>
      </c>
      <c r="F204" s="16" t="str">
        <f>IFERROR(__xludf.DUMMYFUNCTION("""COMPUTED_VALUE"""),"Will Succeed")</f>
        <v>Will Succeed</v>
      </c>
      <c r="G204" s="16"/>
      <c r="H204" s="16" t="str">
        <f>IFERROR(__xludf.DUMMYFUNCTION("""COMPUTED_VALUE"""),"Physical")</f>
        <v>Physical</v>
      </c>
    </row>
    <row r="205">
      <c r="A205" s="16" t="str">
        <f>IFERROR(__xludf.DUMMYFUNCTION("""COMPUTED_VALUE"""),"Guard")</f>
        <v>Guard</v>
      </c>
      <c r="B205" s="16">
        <f>IFERROR(__xludf.DUMMYFUNCTION("""COMPUTED_VALUE"""),1.0)</f>
        <v>1</v>
      </c>
      <c r="C205" s="16">
        <f>IFERROR(__xludf.DUMMYFUNCTION("""COMPUTED_VALUE"""),0.0)</f>
        <v>0</v>
      </c>
      <c r="D205" s="16"/>
      <c r="E205" s="16" t="str">
        <f>IFERROR(__xludf.DUMMYFUNCTION("""COMPUTED_VALUE"""),"X2 defense for the user only.")</f>
        <v>X2 defense for the user only.</v>
      </c>
      <c r="F205" s="16" t="str">
        <f>IFERROR(__xludf.DUMMYFUNCTION("""COMPUTED_VALUE"""),"Natural/Fail or Succeed")</f>
        <v>Natural/Fail or Succeed</v>
      </c>
      <c r="G205" s="16" t="str">
        <f>IFERROR(__xludf.DUMMYFUNCTION("""COMPUTED_VALUE"""),"Self")</f>
        <v>Self</v>
      </c>
      <c r="H205" s="16" t="str">
        <f>IFERROR(__xludf.DUMMYFUNCTION("""COMPUTED_VALUE"""),"Physical")</f>
        <v>Physical</v>
      </c>
    </row>
    <row r="206">
      <c r="A206" s="16" t="str">
        <f>IFERROR(__xludf.DUMMYFUNCTION("""COMPUTED_VALUE"""),"Guard Call (Player)")</f>
        <v>Guard Call (Player)</v>
      </c>
      <c r="B206" s="16">
        <f>IFERROR(__xludf.DUMMYFUNCTION("""COMPUTED_VALUE"""),1.0)</f>
        <v>1</v>
      </c>
      <c r="C206" s="16">
        <f>IFERROR(__xludf.DUMMYFUNCTION("""COMPUTED_VALUE"""),0.0)</f>
        <v>0</v>
      </c>
      <c r="D206" s="16"/>
      <c r="E206" s="16" t="str">
        <f>IFERROR(__xludf.DUMMYFUNCTION("""COMPUTED_VALUE"""),"Call 1 guard to battle. The guard is 1 rank lower then you. Can only be used once per battle.")</f>
        <v>Call 1 guard to battle. The guard is 1 rank lower then you. Can only be used once per battle.</v>
      </c>
      <c r="F206" s="16" t="str">
        <f>IFERROR(__xludf.DUMMYFUNCTION("""COMPUTED_VALUE"""),"Natural/Fail or Succeed")</f>
        <v>Natural/Fail or Succeed</v>
      </c>
      <c r="G206" s="16" t="str">
        <f>IFERROR(__xludf.DUMMYFUNCTION("""COMPUTED_VALUE"""),"Self")</f>
        <v>Self</v>
      </c>
      <c r="H206" s="16" t="str">
        <f>IFERROR(__xludf.DUMMYFUNCTION("""COMPUTED_VALUE"""),"Physical")</f>
        <v>Physical</v>
      </c>
    </row>
    <row r="207">
      <c r="A207" s="16" t="str">
        <f>IFERROR(__xludf.DUMMYFUNCTION("""COMPUTED_VALUE"""),"Hard Punch")</f>
        <v>Hard Punch</v>
      </c>
      <c r="B207" s="16">
        <f>IFERROR(__xludf.DUMMYFUNCTION("""COMPUTED_VALUE"""),1.0)</f>
        <v>1</v>
      </c>
      <c r="C207" s="16">
        <f>IFERROR(__xludf.DUMMYFUNCTION("""COMPUTED_VALUE"""),10.0)</f>
        <v>10</v>
      </c>
      <c r="D207" s="16"/>
      <c r="E207" s="16" t="str">
        <f>IFERROR(__xludf.DUMMYFUNCTION("""COMPUTED_VALUE"""),"Roll for an attack twice and take the higher number.")</f>
        <v>Roll for an attack twice and take the higher number.</v>
      </c>
      <c r="F207" s="16" t="str">
        <f>IFERROR(__xludf.DUMMYFUNCTION("""COMPUTED_VALUE"""),"Will Succeed")</f>
        <v>Will Succeed</v>
      </c>
      <c r="G207" s="16"/>
      <c r="H207" s="16" t="str">
        <f>IFERROR(__xludf.DUMMYFUNCTION("""COMPUTED_VALUE"""),"Physical")</f>
        <v>Physical</v>
      </c>
    </row>
    <row r="208">
      <c r="A208" s="16" t="str">
        <f>IFERROR(__xludf.DUMMYFUNCTION("""COMPUTED_VALUE"""),"Heighten Reflexes")</f>
        <v>Heighten Reflexes</v>
      </c>
      <c r="B208" s="16">
        <f>IFERROR(__xludf.DUMMYFUNCTION("""COMPUTED_VALUE"""),3.0)</f>
        <v>3</v>
      </c>
      <c r="C208" s="16">
        <f>IFERROR(__xludf.DUMMYFUNCTION("""COMPUTED_VALUE"""),30.0)</f>
        <v>30</v>
      </c>
      <c r="D208" s="16"/>
      <c r="E208" s="16" t="str">
        <f>IFERROR(__xludf.DUMMYFUNCTION("""COMPUTED_VALUE"""),"Double your own evasion until the end of your next turn.")</f>
        <v>Double your own evasion until the end of your next turn.</v>
      </c>
      <c r="F208" s="16" t="str">
        <f>IFERROR(__xludf.DUMMYFUNCTION("""COMPUTED_VALUE"""),"Will Succeed")</f>
        <v>Will Succeed</v>
      </c>
      <c r="G208" s="16"/>
      <c r="H208" s="16" t="str">
        <f>IFERROR(__xludf.DUMMYFUNCTION("""COMPUTED_VALUE"""),"Physical")</f>
        <v>Physical</v>
      </c>
    </row>
    <row r="209">
      <c r="A209" s="16" t="str">
        <f>IFERROR(__xludf.DUMMYFUNCTION("""COMPUTED_VALUE"""),"Increase")</f>
        <v>Increase</v>
      </c>
      <c r="B209" s="16">
        <f>IFERROR(__xludf.DUMMYFUNCTION("""COMPUTED_VALUE"""),5.0)</f>
        <v>5</v>
      </c>
      <c r="C209" s="16">
        <f>IFERROR(__xludf.DUMMYFUNCTION("""COMPUTED_VALUE"""),50.0)</f>
        <v>50</v>
      </c>
      <c r="D209" s="16"/>
      <c r="E209" s="16" t="str">
        <f>IFERROR(__xludf.DUMMYFUNCTION("""COMPUTED_VALUE"""),"X4 additional damage for the Caster for 3 rounds.")</f>
        <v>X4 additional damage for the Caster for 3 rounds.</v>
      </c>
      <c r="F209" s="16" t="str">
        <f>IFERROR(__xludf.DUMMYFUNCTION("""COMPUTED_VALUE"""),"Will Succeed")</f>
        <v>Will Succeed</v>
      </c>
      <c r="G209" s="16"/>
      <c r="H209" s="16" t="str">
        <f>IFERROR(__xludf.DUMMYFUNCTION("""COMPUTED_VALUE"""),"Physical")</f>
        <v>Physical</v>
      </c>
    </row>
    <row r="210">
      <c r="A210" s="16" t="str">
        <f>IFERROR(__xludf.DUMMYFUNCTION("""COMPUTED_VALUE"""),"Meditate")</f>
        <v>Meditate</v>
      </c>
      <c r="B210" s="16">
        <f>IFERROR(__xludf.DUMMYFUNCTION("""COMPUTED_VALUE"""),6.0)</f>
        <v>6</v>
      </c>
      <c r="C210" s="16" t="str">
        <f>IFERROR(__xludf.DUMMYFUNCTION("""COMPUTED_VALUE"""),"X")</f>
        <v>X</v>
      </c>
      <c r="D210" s="16"/>
      <c r="E210" s="16" t="str">
        <f>IFERROR(__xludf.DUMMYFUNCTION("""COMPUTED_VALUE"""),"Regain X*100 HP")</f>
        <v>Regain X*100 HP</v>
      </c>
      <c r="F210" s="16" t="str">
        <f>IFERROR(__xludf.DUMMYFUNCTION("""COMPUTED_VALUE"""),"Will succeed")</f>
        <v>Will succeed</v>
      </c>
      <c r="G210" s="16"/>
      <c r="H210" s="16" t="str">
        <f>IFERROR(__xludf.DUMMYFUNCTION("""COMPUTED_VALUE"""),"Physical")</f>
        <v>Physical</v>
      </c>
    </row>
    <row r="211">
      <c r="A211" s="16" t="str">
        <f>IFERROR(__xludf.DUMMYFUNCTION("""COMPUTED_VALUE"""),"Parry")</f>
        <v>Parry</v>
      </c>
      <c r="B211" s="16">
        <f>IFERROR(__xludf.DUMMYFUNCTION("""COMPUTED_VALUE"""),1.0)</f>
        <v>1</v>
      </c>
      <c r="C211" s="16">
        <f>IFERROR(__xludf.DUMMYFUNCTION("""COMPUTED_VALUE"""),0.0)</f>
        <v>0</v>
      </c>
      <c r="D211" s="16"/>
      <c r="E211" s="16" t="str">
        <f>IFERROR(__xludf.DUMMYFUNCTION("""COMPUTED_VALUE"""),"(requires a weapon be equipped) parry the next weapon attack as per the handbook ability: Parry")</f>
        <v>(requires a weapon be equipped) parry the next weapon attack as per the handbook ability: Parry</v>
      </c>
      <c r="F211" s="16" t="str">
        <f>IFERROR(__xludf.DUMMYFUNCTION("""COMPUTED_VALUE"""),"Natural/Fail or Succeed")</f>
        <v>Natural/Fail or Succeed</v>
      </c>
      <c r="G211" s="16" t="str">
        <f>IFERROR(__xludf.DUMMYFUNCTION("""COMPUTED_VALUE"""),"Self")</f>
        <v>Self</v>
      </c>
      <c r="H211" s="16" t="str">
        <f>IFERROR(__xludf.DUMMYFUNCTION("""COMPUTED_VALUE"""),"Physical")</f>
        <v>Physical</v>
      </c>
    </row>
    <row r="212">
      <c r="A212" s="16" t="str">
        <f>IFERROR(__xludf.DUMMYFUNCTION("""COMPUTED_VALUE"""),"Pay Back")</f>
        <v>Pay Back</v>
      </c>
      <c r="B212" s="16">
        <f>IFERROR(__xludf.DUMMYFUNCTION("""COMPUTED_VALUE"""),9.0)</f>
        <v>9</v>
      </c>
      <c r="C212" s="16">
        <f>IFERROR(__xludf.DUMMYFUNCTION("""COMPUTED_VALUE"""),300.0)</f>
        <v>300</v>
      </c>
      <c r="D212" s="16"/>
      <c r="E212"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2" s="16" t="str">
        <f>IFERROR(__xludf.DUMMYFUNCTION("""COMPUTED_VALUE"""),"Fail/Succeed")</f>
        <v>Fail/Succeed</v>
      </c>
      <c r="G212" s="16">
        <f>IFERROR(__xludf.DUMMYFUNCTION("""COMPUTED_VALUE"""),1.0)</f>
        <v>1</v>
      </c>
      <c r="H212" s="16" t="str">
        <f>IFERROR(__xludf.DUMMYFUNCTION("""COMPUTED_VALUE"""),"Physical")</f>
        <v>Physical</v>
      </c>
    </row>
    <row r="213">
      <c r="A213" s="16" t="str">
        <f>IFERROR(__xludf.DUMMYFUNCTION("""COMPUTED_VALUE"""),"Power Increase")</f>
        <v>Power Increase</v>
      </c>
      <c r="B213" s="16">
        <f>IFERROR(__xludf.DUMMYFUNCTION("""COMPUTED_VALUE"""),9.0)</f>
        <v>9</v>
      </c>
      <c r="C213" s="16">
        <f>IFERROR(__xludf.DUMMYFUNCTION("""COMPUTED_VALUE"""),300.0)</f>
        <v>300</v>
      </c>
      <c r="D213" s="16"/>
      <c r="E213" s="16" t="str">
        <f>IFERROR(__xludf.DUMMYFUNCTION("""COMPUTED_VALUE"""),"Gain 20000 attack and accuracy for 3 rounds.")</f>
        <v>Gain 20000 attack and accuracy for 3 rounds.</v>
      </c>
      <c r="F213" s="16" t="str">
        <f>IFERROR(__xludf.DUMMYFUNCTION("""COMPUTED_VALUE"""),"Will Succeed")</f>
        <v>Will Succeed</v>
      </c>
      <c r="G213" s="16"/>
      <c r="H213" s="16" t="str">
        <f>IFERROR(__xludf.DUMMYFUNCTION("""COMPUTED_VALUE"""),"Physical")</f>
        <v>Physical</v>
      </c>
    </row>
    <row r="214">
      <c r="A214" s="16" t="str">
        <f>IFERROR(__xludf.DUMMYFUNCTION("""COMPUTED_VALUE"""),"Punch")</f>
        <v>Punch</v>
      </c>
      <c r="B214" s="16">
        <f>IFERROR(__xludf.DUMMYFUNCTION("""COMPUTED_VALUE"""),1.0)</f>
        <v>1</v>
      </c>
      <c r="C214" s="16">
        <f>IFERROR(__xludf.DUMMYFUNCTION("""COMPUTED_VALUE"""),0.0)</f>
        <v>0</v>
      </c>
      <c r="D214" s="16"/>
      <c r="E214" s="16" t="str">
        <f>IFERROR(__xludf.DUMMYFUNCTION("""COMPUTED_VALUE"""),"X*2 Damage of your primary element Where X is equal to your attack.")</f>
        <v>X*2 Damage of your primary element Where X is equal to your attack.</v>
      </c>
      <c r="F214" s="16" t="str">
        <f>IFERROR(__xludf.DUMMYFUNCTION("""COMPUTED_VALUE"""),"Natural/Hit or Miss")</f>
        <v>Natural/Hit or Miss</v>
      </c>
      <c r="G214" s="16">
        <f>IFERROR(__xludf.DUMMYFUNCTION("""COMPUTED_VALUE"""),1.0)</f>
        <v>1</v>
      </c>
      <c r="H214" s="16" t="str">
        <f>IFERROR(__xludf.DUMMYFUNCTION("""COMPUTED_VALUE"""),"Physical")</f>
        <v>Physical</v>
      </c>
    </row>
    <row r="215">
      <c r="A215" s="16" t="str">
        <f>IFERROR(__xludf.DUMMYFUNCTION("""COMPUTED_VALUE"""),"Take")</f>
        <v>Take</v>
      </c>
      <c r="B215" s="16">
        <f>IFERROR(__xludf.DUMMYFUNCTION("""COMPUTED_VALUE"""),1.0)</f>
        <v>1</v>
      </c>
      <c r="C215" s="16">
        <f>IFERROR(__xludf.DUMMYFUNCTION("""COMPUTED_VALUE"""),0.0)</f>
        <v>0</v>
      </c>
      <c r="D215" s="16"/>
      <c r="E215"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5" s="16" t="str">
        <f>IFERROR(__xludf.DUMMYFUNCTION("""COMPUTED_VALUE"""),"Natural/Fail or Succeed")</f>
        <v>Natural/Fail or Succeed</v>
      </c>
      <c r="G215" s="16">
        <f>IFERROR(__xludf.DUMMYFUNCTION("""COMPUTED_VALUE"""),1.0)</f>
        <v>1</v>
      </c>
      <c r="H215" s="16" t="str">
        <f>IFERROR(__xludf.DUMMYFUNCTION("""COMPUTED_VALUE"""),"Physical")</f>
        <v>Physical</v>
      </c>
    </row>
    <row r="216">
      <c r="A216" s="16" t="str">
        <f>IFERROR(__xludf.DUMMYFUNCTION("""COMPUTED_VALUE"""),"Taunt")</f>
        <v>Taunt</v>
      </c>
      <c r="B216" s="16">
        <f>IFERROR(__xludf.DUMMYFUNCTION("""COMPUTED_VALUE"""),1.0)</f>
        <v>1</v>
      </c>
      <c r="C216" s="16">
        <f>IFERROR(__xludf.DUMMYFUNCTION("""COMPUTED_VALUE"""),0.0)</f>
        <v>0</v>
      </c>
      <c r="D216" s="16"/>
      <c r="E216"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6" s="16" t="str">
        <f>IFERROR(__xludf.DUMMYFUNCTION("""COMPUTED_VALUE"""),"Natural/Fail or succeed")</f>
        <v>Natural/Fail or succeed</v>
      </c>
      <c r="G216" s="16">
        <f>IFERROR(__xludf.DUMMYFUNCTION("""COMPUTED_VALUE"""),1.0)</f>
        <v>1</v>
      </c>
      <c r="H216" s="16" t="str">
        <f>IFERROR(__xludf.DUMMYFUNCTION("""COMPUTED_VALUE"""),"Physical")</f>
        <v>Physical</v>
      </c>
    </row>
    <row r="217">
      <c r="A217" s="16" t="str">
        <f>IFERROR(__xludf.DUMMYFUNCTION("""COMPUTED_VALUE"""),"Tower Of Balance I")</f>
        <v>Tower Of Balance I</v>
      </c>
      <c r="B217" s="16">
        <f>IFERROR(__xludf.DUMMYFUNCTION("""COMPUTED_VALUE"""),8.0)</f>
        <v>8</v>
      </c>
      <c r="C217" s="16">
        <f>IFERROR(__xludf.DUMMYFUNCTION("""COMPUTED_VALUE"""),200.0)</f>
        <v>200</v>
      </c>
      <c r="D217" s="16"/>
      <c r="E217"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7" s="16" t="str">
        <f>IFERROR(__xludf.DUMMYFUNCTION("""COMPUTED_VALUE"""),"Fail/Succeed")</f>
        <v>Fail/Succeed</v>
      </c>
      <c r="G217" s="16"/>
      <c r="H217" s="16" t="str">
        <f>IFERROR(__xludf.DUMMYFUNCTION("""COMPUTED_VALUE"""),"Physical")</f>
        <v>Physical</v>
      </c>
    </row>
    <row r="218">
      <c r="A218" s="16" t="str">
        <f>IFERROR(__xludf.DUMMYFUNCTION("""COMPUTED_VALUE"""),"[Element] Shot")</f>
        <v>[Element] Shot</v>
      </c>
      <c r="B218" s="16">
        <f>IFERROR(__xludf.DUMMYFUNCTION("""COMPUTED_VALUE"""),4.0)</f>
        <v>4</v>
      </c>
      <c r="C218" s="16">
        <f>IFERROR(__xludf.DUMMYFUNCTION("""COMPUTED_VALUE"""),40.0)</f>
        <v>40</v>
      </c>
      <c r="D218" s="16"/>
      <c r="E218"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8" s="16" t="str">
        <f>IFERROR(__xludf.DUMMYFUNCTION("""COMPUTED_VALUE"""),"Fail/succeed")</f>
        <v>Fail/succeed</v>
      </c>
      <c r="G218" s="16"/>
      <c r="H218" s="16" t="str">
        <f>IFERROR(__xludf.DUMMYFUNCTION("""COMPUTED_VALUE"""),"Ranged")</f>
        <v>Ranged</v>
      </c>
    </row>
    <row r="219">
      <c r="A219" s="16" t="str">
        <f>IFERROR(__xludf.DUMMYFUNCTION("""COMPUTED_VALUE"""),"Accuracy Boost")</f>
        <v>Accuracy Boost</v>
      </c>
      <c r="B219" s="16">
        <f>IFERROR(__xludf.DUMMYFUNCTION("""COMPUTED_VALUE"""),6.0)</f>
        <v>6</v>
      </c>
      <c r="C219" s="16">
        <f>IFERROR(__xludf.DUMMYFUNCTION("""COMPUTED_VALUE"""),60.0)</f>
        <v>60</v>
      </c>
      <c r="D219" s="16"/>
      <c r="E219" s="16" t="str">
        <f>IFERROR(__xludf.DUMMYFUNCTION("""COMPUTED_VALUE"""),"Raise accuracy by X2 for 3 rounds (1 use)")</f>
        <v>Raise accuracy by X2 for 3 rounds (1 use)</v>
      </c>
      <c r="F219" s="16" t="str">
        <f>IFERROR(__xludf.DUMMYFUNCTION("""COMPUTED_VALUE"""),"Will Succeed")</f>
        <v>Will Succeed</v>
      </c>
      <c r="G219" s="16"/>
      <c r="H219" s="16" t="str">
        <f>IFERROR(__xludf.DUMMYFUNCTION("""COMPUTED_VALUE"""),"Ranged")</f>
        <v>Ranged</v>
      </c>
    </row>
    <row r="220">
      <c r="A220" s="16" t="str">
        <f>IFERROR(__xludf.DUMMYFUNCTION("""COMPUTED_VALUE"""),"Archer’s Wrath")</f>
        <v>Archer’s Wrath</v>
      </c>
      <c r="B220" s="16">
        <f>IFERROR(__xludf.DUMMYFUNCTION("""COMPUTED_VALUE"""),5.0)</f>
        <v>5</v>
      </c>
      <c r="C220" s="16" t="str">
        <f>IFERROR(__xludf.DUMMYFUNCTION("""COMPUTED_VALUE"""),"X")</f>
        <v>X</v>
      </c>
      <c r="D220" s="16"/>
      <c r="E220" s="16" t="str">
        <f>IFERROR(__xludf.DUMMYFUNCTION("""COMPUTED_VALUE"""),"Roll a D20 for additional accuracy, times it by the amount of mana you pay.")</f>
        <v>Roll a D20 for additional accuracy, times it by the amount of mana you pay.</v>
      </c>
      <c r="F220" s="16" t="str">
        <f>IFERROR(__xludf.DUMMYFUNCTION("""COMPUTED_VALUE"""),"Will Succeed")</f>
        <v>Will Succeed</v>
      </c>
      <c r="G220" s="16"/>
      <c r="H220" s="16" t="str">
        <f>IFERROR(__xludf.DUMMYFUNCTION("""COMPUTED_VALUE"""),"Ranged")</f>
        <v>Ranged</v>
      </c>
    </row>
    <row r="221">
      <c r="A221" s="16" t="str">
        <f>IFERROR(__xludf.DUMMYFUNCTION("""COMPUTED_VALUE"""),"Bullseye")</f>
        <v>Bullseye</v>
      </c>
      <c r="B221" s="16">
        <f>IFERROR(__xludf.DUMMYFUNCTION("""COMPUTED_VALUE"""),9.0)</f>
        <v>9</v>
      </c>
      <c r="C221" s="16">
        <f>IFERROR(__xludf.DUMMYFUNCTION("""COMPUTED_VALUE"""),300.0)</f>
        <v>300</v>
      </c>
      <c r="D221" s="16"/>
      <c r="E221"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21" s="16" t="str">
        <f>IFERROR(__xludf.DUMMYFUNCTION("""COMPUTED_VALUE"""),"Fail/succeed")</f>
        <v>Fail/succeed</v>
      </c>
      <c r="G221" s="16"/>
      <c r="H221" s="16" t="str">
        <f>IFERROR(__xludf.DUMMYFUNCTION("""COMPUTED_VALUE"""),"Ranged")</f>
        <v>Ranged</v>
      </c>
    </row>
    <row r="222">
      <c r="A222" s="16" t="str">
        <f>IFERROR(__xludf.DUMMYFUNCTION("""COMPUTED_VALUE"""),"Cannon Bombardment")</f>
        <v>Cannon Bombardment</v>
      </c>
      <c r="B222" s="16">
        <f>IFERROR(__xludf.DUMMYFUNCTION("""COMPUTED_VALUE"""),1.0)</f>
        <v>1</v>
      </c>
      <c r="C222" s="16">
        <f>IFERROR(__xludf.DUMMYFUNCTION("""COMPUTED_VALUE"""),0.0)</f>
        <v>0</v>
      </c>
      <c r="D222" s="16"/>
      <c r="E222"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2" s="16" t="str">
        <f>IFERROR(__xludf.DUMMYFUNCTION("""COMPUTED_VALUE"""),"Natural/Fail or Succeed")</f>
        <v>Natural/Fail or Succeed</v>
      </c>
      <c r="G222" s="16" t="str">
        <f>IFERROR(__xludf.DUMMYFUNCTION("""COMPUTED_VALUE"""),"All")</f>
        <v>All</v>
      </c>
      <c r="H222" s="16" t="str">
        <f>IFERROR(__xludf.DUMMYFUNCTION("""COMPUTED_VALUE"""),"Ranged")</f>
        <v>Ranged</v>
      </c>
    </row>
    <row r="223">
      <c r="A223" s="16" t="str">
        <f>IFERROR(__xludf.DUMMYFUNCTION("""COMPUTED_VALUE"""),"Good shot")</f>
        <v>Good shot</v>
      </c>
      <c r="B223" s="16">
        <f>IFERROR(__xludf.DUMMYFUNCTION("""COMPUTED_VALUE"""),1.0)</f>
        <v>1</v>
      </c>
      <c r="C223" s="16">
        <f>IFERROR(__xludf.DUMMYFUNCTION("""COMPUTED_VALUE"""),10.0)</f>
        <v>10</v>
      </c>
      <c r="D223" s="16"/>
      <c r="E223" s="16" t="str">
        <f>IFERROR(__xludf.DUMMYFUNCTION("""COMPUTED_VALUE"""),"Roll for a ranged attack twice take the higher")</f>
        <v>Roll for a ranged attack twice take the higher</v>
      </c>
      <c r="F223" s="16" t="str">
        <f>IFERROR(__xludf.DUMMYFUNCTION("""COMPUTED_VALUE"""),"Will Succeed")</f>
        <v>Will Succeed</v>
      </c>
      <c r="G223" s="16" t="str">
        <f>IFERROR(__xludf.DUMMYFUNCTION("""COMPUTED_VALUE"""),"Self")</f>
        <v>Self</v>
      </c>
      <c r="H223" s="16" t="str">
        <f>IFERROR(__xludf.DUMMYFUNCTION("""COMPUTED_VALUE"""),"Ranged")</f>
        <v>Ranged</v>
      </c>
    </row>
    <row r="224">
      <c r="A224" s="16" t="str">
        <f>IFERROR(__xludf.DUMMYFUNCTION("""COMPUTED_VALUE"""),"Lock On")</f>
        <v>Lock On</v>
      </c>
      <c r="B224" s="16">
        <f>IFERROR(__xludf.DUMMYFUNCTION("""COMPUTED_VALUE"""),7.0)</f>
        <v>7</v>
      </c>
      <c r="C224" s="16">
        <f>IFERROR(__xludf.DUMMYFUNCTION("""COMPUTED_VALUE"""),100.0)</f>
        <v>100</v>
      </c>
      <c r="D224" s="16"/>
      <c r="E224" s="16" t="str">
        <f>IFERROR(__xludf.DUMMYFUNCTION("""COMPUTED_VALUE"""),"Target cannot evade for 3 rounds.")</f>
        <v>Target cannot evade for 3 rounds.</v>
      </c>
      <c r="F224" s="16" t="str">
        <f>IFERROR(__xludf.DUMMYFUNCTION("""COMPUTED_VALUE"""),"Fail/succeed")</f>
        <v>Fail/succeed</v>
      </c>
      <c r="G224" s="16"/>
      <c r="H224" s="16" t="str">
        <f>IFERROR(__xludf.DUMMYFUNCTION("""COMPUTED_VALUE"""),"Ranged")</f>
        <v>Ranged</v>
      </c>
    </row>
    <row r="225">
      <c r="A225" s="16" t="str">
        <f>IFERROR(__xludf.DUMMYFUNCTION("""COMPUTED_VALUE"""),"Multishot")</f>
        <v>Multishot</v>
      </c>
      <c r="B225" s="16">
        <f>IFERROR(__xludf.DUMMYFUNCTION("""COMPUTED_VALUE"""),9.0)</f>
        <v>9</v>
      </c>
      <c r="C225" s="16" t="str">
        <f>IFERROR(__xludf.DUMMYFUNCTION("""COMPUTED_VALUE"""),"X*300")</f>
        <v>X*300</v>
      </c>
      <c r="D225" s="16"/>
      <c r="E225" s="16" t="str">
        <f>IFERROR(__xludf.DUMMYFUNCTION("""COMPUTED_VALUE"""),"Multiples the damage of the next attack by X. X= SP you pay for X Cost.")</f>
        <v>Multiples the damage of the next attack by X. X= SP you pay for X Cost.</v>
      </c>
      <c r="F225" s="16" t="str">
        <f>IFERROR(__xludf.DUMMYFUNCTION("""COMPUTED_VALUE"""),"Fail/succeed")</f>
        <v>Fail/succeed</v>
      </c>
      <c r="G225" s="16"/>
      <c r="H225" s="16" t="str">
        <f>IFERROR(__xludf.DUMMYFUNCTION("""COMPUTED_VALUE"""),"Ranged")</f>
        <v>Ranged</v>
      </c>
    </row>
    <row r="226">
      <c r="A226" s="16" t="str">
        <f>IFERROR(__xludf.DUMMYFUNCTION("""COMPUTED_VALUE"""),"Pinning shot")</f>
        <v>Pinning shot</v>
      </c>
      <c r="B226" s="16">
        <f>IFERROR(__xludf.DUMMYFUNCTION("""COMPUTED_VALUE"""),3.0)</f>
        <v>3</v>
      </c>
      <c r="C226" s="16">
        <f>IFERROR(__xludf.DUMMYFUNCTION("""COMPUTED_VALUE"""),30.0)</f>
        <v>30</v>
      </c>
      <c r="D226" s="16"/>
      <c r="E226" s="16" t="str">
        <f>IFERROR(__xludf.DUMMYFUNCTION("""COMPUTED_VALUE"""),"The target is immobilized until the end of its next turn.")</f>
        <v>The target is immobilized until the end of its next turn.</v>
      </c>
      <c r="F226" s="16" t="str">
        <f>IFERROR(__xludf.DUMMYFUNCTION("""COMPUTED_VALUE"""),"Fail/succeed")</f>
        <v>Fail/succeed</v>
      </c>
      <c r="G226" s="16"/>
      <c r="H226" s="16" t="str">
        <f>IFERROR(__xludf.DUMMYFUNCTION("""COMPUTED_VALUE"""),"Ranged")</f>
        <v>Ranged</v>
      </c>
    </row>
    <row r="227">
      <c r="A227" s="16" t="str">
        <f>IFERROR(__xludf.DUMMYFUNCTION("""COMPUTED_VALUE"""),"Tower Of Balance III")</f>
        <v>Tower Of Balance III</v>
      </c>
      <c r="B227" s="16">
        <f>IFERROR(__xludf.DUMMYFUNCTION("""COMPUTED_VALUE"""),8.0)</f>
        <v>8</v>
      </c>
      <c r="C227" s="16">
        <f>IFERROR(__xludf.DUMMYFUNCTION("""COMPUTED_VALUE"""),200.0)</f>
        <v>200</v>
      </c>
      <c r="D227" s="16"/>
      <c r="E227"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7" s="16" t="str">
        <f>IFERROR(__xludf.DUMMYFUNCTION("""COMPUTED_VALUE"""),"Will Succeed")</f>
        <v>Will Succeed</v>
      </c>
      <c r="G227" s="16"/>
      <c r="H227" s="16" t="str">
        <f>IFERROR(__xludf.DUMMYFUNCTION("""COMPUTED_VALUE"""),"Ranged")</f>
        <v>Ranged</v>
      </c>
    </row>
    <row r="228">
      <c r="A228" s="16" t="str">
        <f>IFERROR(__xludf.DUMMYFUNCTION("""COMPUTED_VALUE"""),"A Deal With The Spirit World")</f>
        <v>A Deal With The Spirit World</v>
      </c>
      <c r="B228" s="16">
        <f>IFERROR(__xludf.DUMMYFUNCTION("""COMPUTED_VALUE"""),7.0)</f>
        <v>7</v>
      </c>
      <c r="C228" s="16"/>
      <c r="D228" s="16" t="str">
        <f>IFERROR(__xludf.DUMMYFUNCTION("""COMPUTED_VALUE"""),"X")</f>
        <v>X</v>
      </c>
      <c r="E228" s="16" t="str">
        <f>IFERROR(__xludf.DUMMYFUNCTION("""COMPUTED_VALUE"""),"Deal X unblockable damage to self to drain X*100 SP from target.")</f>
        <v>Deal X unblockable damage to self to drain X*100 SP from target.</v>
      </c>
      <c r="F228" s="16" t="str">
        <f>IFERROR(__xludf.DUMMYFUNCTION("""COMPUTED_VALUE"""),"Fail/Succeed")</f>
        <v>Fail/Succeed</v>
      </c>
      <c r="G228" s="16"/>
      <c r="H228" s="16" t="str">
        <f>IFERROR(__xludf.DUMMYFUNCTION("""COMPUTED_VALUE"""),"Spirit")</f>
        <v>Spirit</v>
      </c>
    </row>
    <row r="229">
      <c r="A229" s="16" t="str">
        <f>IFERROR(__xludf.DUMMYFUNCTION("""COMPUTED_VALUE"""),"Burning Dread")</f>
        <v>Burning Dread</v>
      </c>
      <c r="B229" s="16">
        <f>IFERROR(__xludf.DUMMYFUNCTION("""COMPUTED_VALUE"""),6.0)</f>
        <v>6</v>
      </c>
      <c r="C229" s="16" t="str">
        <f>IFERROR(__xludf.DUMMYFUNCTION("""COMPUTED_VALUE"""),"X")</f>
        <v>X</v>
      </c>
      <c r="D229" s="16"/>
      <c r="E229" s="16" t="str">
        <f>IFERROR(__xludf.DUMMYFUNCTION("""COMPUTED_VALUE"""),"Deals X*10 Spirit damage per round to all enemies for 3 rounds where X is equal to SP spent.")</f>
        <v>Deals X*10 Spirit damage per round to all enemies for 3 rounds where X is equal to SP spent.</v>
      </c>
      <c r="F229" s="16" t="str">
        <f>IFERROR(__xludf.DUMMYFUNCTION("""COMPUTED_VALUE"""),"Cannot Avoid")</f>
        <v>Cannot Avoid</v>
      </c>
      <c r="G229" s="16" t="str">
        <f>IFERROR(__xludf.DUMMYFUNCTION("""COMPUTED_VALUE"""),"All")</f>
        <v>All</v>
      </c>
      <c r="H229" s="16" t="str">
        <f>IFERROR(__xludf.DUMMYFUNCTION("""COMPUTED_VALUE"""),"Spirit")</f>
        <v>Spirit</v>
      </c>
    </row>
    <row r="230">
      <c r="A230" s="16" t="str">
        <f>IFERROR(__xludf.DUMMYFUNCTION("""COMPUTED_VALUE"""),"Confuse")</f>
        <v>Confuse</v>
      </c>
      <c r="B230" s="16">
        <f>IFERROR(__xludf.DUMMYFUNCTION("""COMPUTED_VALUE"""),6.0)</f>
        <v>6</v>
      </c>
      <c r="C230" s="16">
        <f>IFERROR(__xludf.DUMMYFUNCTION("""COMPUTED_VALUE"""),90.0)</f>
        <v>90</v>
      </c>
      <c r="D230" s="16"/>
      <c r="E230" s="16" t="str">
        <f>IFERROR(__xludf.DUMMYFUNCTION("""COMPUTED_VALUE"""),"Makes the target incapable of performing their next action.")</f>
        <v>Makes the target incapable of performing their next action.</v>
      </c>
      <c r="F230" s="16" t="str">
        <f>IFERROR(__xludf.DUMMYFUNCTION("""COMPUTED_VALUE"""),"Fail/Succeed")</f>
        <v>Fail/Succeed</v>
      </c>
      <c r="G230" s="16"/>
      <c r="H230" s="16" t="str">
        <f>IFERROR(__xludf.DUMMYFUNCTION("""COMPUTED_VALUE"""),"Spirit")</f>
        <v>Spirit</v>
      </c>
    </row>
    <row r="231">
      <c r="A231" s="16" t="str">
        <f>IFERROR(__xludf.DUMMYFUNCTION("""COMPUTED_VALUE"""),"Degrade")</f>
        <v>Degrade</v>
      </c>
      <c r="B231" s="16">
        <f>IFERROR(__xludf.DUMMYFUNCTION("""COMPUTED_VALUE"""),1.0)</f>
        <v>1</v>
      </c>
      <c r="C231" s="16">
        <f>IFERROR(__xludf.DUMMYFUNCTION("""COMPUTED_VALUE"""),10.0)</f>
        <v>10</v>
      </c>
      <c r="D231" s="16"/>
      <c r="E231" s="16" t="str">
        <f>IFERROR(__xludf.DUMMYFUNCTION("""COMPUTED_VALUE"""),"1 Targets Max HP is reduced to 100.")</f>
        <v>1 Targets Max HP is reduced to 100.</v>
      </c>
      <c r="F231" s="16" t="str">
        <f>IFERROR(__xludf.DUMMYFUNCTION("""COMPUTED_VALUE"""),"Fail/Succeed")</f>
        <v>Fail/Succeed</v>
      </c>
      <c r="G231" s="16"/>
      <c r="H231" s="16" t="str">
        <f>IFERROR(__xludf.DUMMYFUNCTION("""COMPUTED_VALUE"""),"Spirit")</f>
        <v>Spirit</v>
      </c>
    </row>
    <row r="232">
      <c r="A232" s="16" t="str">
        <f>IFERROR(__xludf.DUMMYFUNCTION("""COMPUTED_VALUE"""),"Distant Warrior")</f>
        <v>Distant Warrior</v>
      </c>
      <c r="B232" s="16">
        <f>IFERROR(__xludf.DUMMYFUNCTION("""COMPUTED_VALUE"""),9.0)</f>
        <v>9</v>
      </c>
      <c r="C232" s="16" t="str">
        <f>IFERROR(__xludf.DUMMYFUNCTION("""COMPUTED_VALUE"""),"X*1000")</f>
        <v>X*1000</v>
      </c>
      <c r="D232" s="16"/>
      <c r="E232"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2" s="16" t="str">
        <f>IFERROR(__xludf.DUMMYFUNCTION("""COMPUTED_VALUE"""),"Will Succeed")</f>
        <v>Will Succeed</v>
      </c>
      <c r="G232" s="16"/>
      <c r="H232" s="16" t="str">
        <f>IFERROR(__xludf.DUMMYFUNCTION("""COMPUTED_VALUE"""),"Spirit")</f>
        <v>Spirit</v>
      </c>
    </row>
    <row r="233">
      <c r="A233" s="16" t="str">
        <f>IFERROR(__xludf.DUMMYFUNCTION("""COMPUTED_VALUE"""),"Dread")</f>
        <v>Dread</v>
      </c>
      <c r="B233" s="16">
        <f>IFERROR(__xludf.DUMMYFUNCTION("""COMPUTED_VALUE"""),5.0)</f>
        <v>5</v>
      </c>
      <c r="C233" s="16" t="str">
        <f>IFERROR(__xludf.DUMMYFUNCTION("""COMPUTED_VALUE"""),"X")</f>
        <v>X</v>
      </c>
      <c r="D233" s="16"/>
      <c r="E233" s="16" t="str">
        <f>IFERROR(__xludf.DUMMYFUNCTION("""COMPUTED_VALUE"""),"Deals X*50 Spirit damage per round for 3 rounds to a single target where X is equal to SP spent.")</f>
        <v>Deals X*50 Spirit damage per round for 3 rounds to a single target where X is equal to SP spent.</v>
      </c>
      <c r="F233" s="16" t="str">
        <f>IFERROR(__xludf.DUMMYFUNCTION("""COMPUTED_VALUE"""),"Hit/Miss")</f>
        <v>Hit/Miss</v>
      </c>
      <c r="G233" s="16">
        <f>IFERROR(__xludf.DUMMYFUNCTION("""COMPUTED_VALUE"""),1.0)</f>
        <v>1</v>
      </c>
      <c r="H233" s="16" t="str">
        <f>IFERROR(__xludf.DUMMYFUNCTION("""COMPUTED_VALUE"""),"Spirit")</f>
        <v>Spirit</v>
      </c>
    </row>
    <row r="234">
      <c r="A234" s="16" t="str">
        <f>IFERROR(__xludf.DUMMYFUNCTION("""COMPUTED_VALUE"""),"Enthrall")</f>
        <v>Enthrall</v>
      </c>
      <c r="B234" s="16">
        <f>IFERROR(__xludf.DUMMYFUNCTION("""COMPUTED_VALUE"""),9.0)</f>
        <v>9</v>
      </c>
      <c r="C234" s="16">
        <f>IFERROR(__xludf.DUMMYFUNCTION("""COMPUTED_VALUE"""),1000.0)</f>
        <v>1000</v>
      </c>
      <c r="D234" s="16"/>
      <c r="E234"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4" s="16" t="str">
        <f>IFERROR(__xludf.DUMMYFUNCTION("""COMPUTED_VALUE"""),"Fail/Succeed")</f>
        <v>Fail/Succeed</v>
      </c>
      <c r="G234" s="16"/>
      <c r="H234" s="16" t="str">
        <f>IFERROR(__xludf.DUMMYFUNCTION("""COMPUTED_VALUE"""),"Spirit")</f>
        <v>Spirit</v>
      </c>
    </row>
    <row r="235">
      <c r="A235" s="16" t="str">
        <f>IFERROR(__xludf.DUMMYFUNCTION("""COMPUTED_VALUE"""),"Final Blast")</f>
        <v>Final Blast</v>
      </c>
      <c r="B235" s="16">
        <f>IFERROR(__xludf.DUMMYFUNCTION("""COMPUTED_VALUE"""),6.0)</f>
        <v>6</v>
      </c>
      <c r="C235" s="16" t="str">
        <f>IFERROR(__xludf.DUMMYFUNCTION("""COMPUTED_VALUE"""),"Current SP")</f>
        <v>Current SP</v>
      </c>
      <c r="D235" s="16"/>
      <c r="E235" s="16" t="str">
        <f>IFERROR(__xludf.DUMMYFUNCTION("""COMPUTED_VALUE"""),"Deal Current SP *10 damage to all enemies.")</f>
        <v>Deal Current SP *10 damage to all enemies.</v>
      </c>
      <c r="F235" s="16" t="str">
        <f>IFERROR(__xludf.DUMMYFUNCTION("""COMPUTED_VALUE"""),"Canot Avoid")</f>
        <v>Canot Avoid</v>
      </c>
      <c r="G235" s="16">
        <f>IFERROR(__xludf.DUMMYFUNCTION("""COMPUTED_VALUE"""),1.0)</f>
        <v>1</v>
      </c>
      <c r="H235" s="16" t="str">
        <f>IFERROR(__xludf.DUMMYFUNCTION("""COMPUTED_VALUE"""),"Spirit")</f>
        <v>Spirit</v>
      </c>
    </row>
    <row r="236">
      <c r="A236" s="16" t="str">
        <f>IFERROR(__xludf.DUMMYFUNCTION("""COMPUTED_VALUE"""),"Final Rest")</f>
        <v>Final Rest</v>
      </c>
      <c r="B236" s="16">
        <f>IFERROR(__xludf.DUMMYFUNCTION("""COMPUTED_VALUE"""),6.0)</f>
        <v>6</v>
      </c>
      <c r="C236" s="16">
        <f>IFERROR(__xludf.DUMMYFUNCTION("""COMPUTED_VALUE"""),90.0)</f>
        <v>90</v>
      </c>
      <c r="D236" s="16"/>
      <c r="E236" s="16" t="str">
        <f>IFERROR(__xludf.DUMMYFUNCTION("""COMPUTED_VALUE"""),"25% chance of instantly banishing any target, 20% chance to banish self.")</f>
        <v>25% chance of instantly banishing any target, 20% chance to banish self.</v>
      </c>
      <c r="F236" s="16" t="str">
        <f>IFERROR(__xludf.DUMMYFUNCTION("""COMPUTED_VALUE"""),"Fail/Succeed")</f>
        <v>Fail/Succeed</v>
      </c>
      <c r="G236" s="16"/>
      <c r="H236" s="16" t="str">
        <f>IFERROR(__xludf.DUMMYFUNCTION("""COMPUTED_VALUE"""),"Spirit")</f>
        <v>Spirit</v>
      </c>
    </row>
    <row r="237">
      <c r="A237" s="16" t="str">
        <f>IFERROR(__xludf.DUMMYFUNCTION("""COMPUTED_VALUE"""),"Gain Soul")</f>
        <v>Gain Soul</v>
      </c>
      <c r="B237" s="16">
        <f>IFERROR(__xludf.DUMMYFUNCTION("""COMPUTED_VALUE"""),6.0)</f>
        <v>6</v>
      </c>
      <c r="C237" s="16">
        <f>IFERROR(__xludf.DUMMYFUNCTION("""COMPUTED_VALUE"""),90.0)</f>
        <v>90</v>
      </c>
      <c r="D237" s="16"/>
      <c r="E237" s="16" t="str">
        <f>IFERROR(__xludf.DUMMYFUNCTION("""COMPUTED_VALUE"""),"Undoes Lost Soul. If Lost Soul hasn’t been casted, then doubles the effects of the next two spells.")</f>
        <v>Undoes Lost Soul. If Lost Soul hasn’t been casted, then doubles the effects of the next two spells.</v>
      </c>
      <c r="F237" s="16" t="str">
        <f>IFERROR(__xludf.DUMMYFUNCTION("""COMPUTED_VALUE"""),"Will Succeed")</f>
        <v>Will Succeed</v>
      </c>
      <c r="G237" s="16"/>
      <c r="H237" s="16" t="str">
        <f>IFERROR(__xludf.DUMMYFUNCTION("""COMPUTED_VALUE"""),"Spirit")</f>
        <v>Spirit</v>
      </c>
    </row>
    <row r="238">
      <c r="A238" s="16" t="str">
        <f>IFERROR(__xludf.DUMMYFUNCTION("""COMPUTED_VALUE"""),"HP Recover")</f>
        <v>HP Recover</v>
      </c>
      <c r="B238" s="16">
        <f>IFERROR(__xludf.DUMMYFUNCTION("""COMPUTED_VALUE"""),1.0)</f>
        <v>1</v>
      </c>
      <c r="C238" s="16">
        <f>IFERROR(__xludf.DUMMYFUNCTION("""COMPUTED_VALUE"""),0.0)</f>
        <v>0</v>
      </c>
      <c r="D238" s="16"/>
      <c r="E238" s="16" t="str">
        <f>IFERROR(__xludf.DUMMYFUNCTION("""COMPUTED_VALUE"""),"Regain 5000 HP. Can only be used three times per character per session.")</f>
        <v>Regain 5000 HP. Can only be used three times per character per session.</v>
      </c>
      <c r="F238" s="16" t="str">
        <f>IFERROR(__xludf.DUMMYFUNCTION("""COMPUTED_VALUE"""),"Natural/Will Succeed")</f>
        <v>Natural/Will Succeed</v>
      </c>
      <c r="G238" s="16"/>
      <c r="H238" s="16" t="str">
        <f>IFERROR(__xludf.DUMMYFUNCTION("""COMPUTED_VALUE"""),"Spirit")</f>
        <v>Spirit</v>
      </c>
    </row>
    <row r="239">
      <c r="A239" s="16" t="str">
        <f>IFERROR(__xludf.DUMMYFUNCTION("""COMPUTED_VALUE"""),"Incorporeal Form")</f>
        <v>Incorporeal Form</v>
      </c>
      <c r="B239" s="16">
        <f>IFERROR(__xludf.DUMMYFUNCTION("""COMPUTED_VALUE"""),9.0)</f>
        <v>9</v>
      </c>
      <c r="C239" s="16">
        <f>IFERROR(__xludf.DUMMYFUNCTION("""COMPUTED_VALUE"""),500.0)</f>
        <v>500</v>
      </c>
      <c r="D239" s="16"/>
      <c r="E239" s="16" t="str">
        <f>IFERROR(__xludf.DUMMYFUNCTION("""COMPUTED_VALUE"""),"Grants Incorporeal 3 to self Can only be cast once every 6 rounds.")</f>
        <v>Grants Incorporeal 3 to self Can only be cast once every 6 rounds.</v>
      </c>
      <c r="F239" s="16" t="str">
        <f>IFERROR(__xludf.DUMMYFUNCTION("""COMPUTED_VALUE"""),"Fail/Succeed")</f>
        <v>Fail/Succeed</v>
      </c>
      <c r="G239" s="16" t="str">
        <f>IFERROR(__xludf.DUMMYFUNCTION("""COMPUTED_VALUE"""),"Self")</f>
        <v>Self</v>
      </c>
      <c r="H239" s="16" t="str">
        <f>IFERROR(__xludf.DUMMYFUNCTION("""COMPUTED_VALUE"""),"Spirit")</f>
        <v>Spirit</v>
      </c>
    </row>
    <row r="240">
      <c r="A240" s="16" t="str">
        <f>IFERROR(__xludf.DUMMYFUNCTION("""COMPUTED_VALUE"""),"Lost Soul")</f>
        <v>Lost Soul</v>
      </c>
      <c r="B240" s="16">
        <f>IFERROR(__xludf.DUMMYFUNCTION("""COMPUTED_VALUE"""),6.0)</f>
        <v>6</v>
      </c>
      <c r="C240" s="16">
        <f>IFERROR(__xludf.DUMMYFUNCTION("""COMPUTED_VALUE"""),90.0)</f>
        <v>90</v>
      </c>
      <c r="D240" s="16"/>
      <c r="E240"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40" s="16" t="str">
        <f>IFERROR(__xludf.DUMMYFUNCTION("""COMPUTED_VALUE"""),"Will Succeed")</f>
        <v>Will Succeed</v>
      </c>
      <c r="G240" s="16"/>
      <c r="H240" s="16" t="str">
        <f>IFERROR(__xludf.DUMMYFUNCTION("""COMPUTED_VALUE"""),"Spirit")</f>
        <v>Spirit</v>
      </c>
    </row>
    <row r="241">
      <c r="A241" s="16" t="str">
        <f>IFERROR(__xludf.DUMMYFUNCTION("""COMPUTED_VALUE"""),"Negative Energy")</f>
        <v>Negative Energy</v>
      </c>
      <c r="B241" s="16">
        <f>IFERROR(__xludf.DUMMYFUNCTION("""COMPUTED_VALUE"""),5.0)</f>
        <v>5</v>
      </c>
      <c r="C241" s="16">
        <f>IFERROR(__xludf.DUMMYFUNCTION("""COMPUTED_VALUE"""),50.0)</f>
        <v>50</v>
      </c>
      <c r="D241" s="16"/>
      <c r="E241" s="16" t="str">
        <f>IFERROR(__xludf.DUMMYFUNCTION("""COMPUTED_VALUE"""),"Target halfs the damage from their next attack.")</f>
        <v>Target halfs the damage from their next attack.</v>
      </c>
      <c r="F241" s="16" t="str">
        <f>IFERROR(__xludf.DUMMYFUNCTION("""COMPUTED_VALUE"""),"Fail/succeed")</f>
        <v>Fail/succeed</v>
      </c>
      <c r="G241" s="16"/>
      <c r="H241" s="16" t="str">
        <f>IFERROR(__xludf.DUMMYFUNCTION("""COMPUTED_VALUE"""),"Spirit")</f>
        <v>Spirit</v>
      </c>
    </row>
    <row r="242">
      <c r="A242" s="16" t="str">
        <f>IFERROR(__xludf.DUMMYFUNCTION("""COMPUTED_VALUE"""),"Positive Energy")</f>
        <v>Positive Energy</v>
      </c>
      <c r="B242" s="16">
        <f>IFERROR(__xludf.DUMMYFUNCTION("""COMPUTED_VALUE"""),5.0)</f>
        <v>5</v>
      </c>
      <c r="C242" s="16">
        <f>IFERROR(__xludf.DUMMYFUNCTION("""COMPUTED_VALUE"""),50.0)</f>
        <v>50</v>
      </c>
      <c r="D242" s="16"/>
      <c r="E242" s="16" t="str">
        <f>IFERROR(__xludf.DUMMYFUNCTION("""COMPUTED_VALUE"""),"X2 additional spirit damage for caster only.")</f>
        <v>X2 additional spirit damage for caster only.</v>
      </c>
      <c r="F242" s="16" t="str">
        <f>IFERROR(__xludf.DUMMYFUNCTION("""COMPUTED_VALUE"""),"Fail/Succeed")</f>
        <v>Fail/Succeed</v>
      </c>
      <c r="G242" s="16"/>
      <c r="H242" s="16" t="str">
        <f>IFERROR(__xludf.DUMMYFUNCTION("""COMPUTED_VALUE"""),"Spirit")</f>
        <v>Spirit</v>
      </c>
    </row>
    <row r="243">
      <c r="A243" s="16" t="str">
        <f>IFERROR(__xludf.DUMMYFUNCTION("""COMPUTED_VALUE"""),"Possession")</f>
        <v>Possession</v>
      </c>
      <c r="B243" s="16">
        <f>IFERROR(__xludf.DUMMYFUNCTION("""COMPUTED_VALUE"""),6.0)</f>
        <v>6</v>
      </c>
      <c r="C243" s="16">
        <f>IFERROR(__xludf.DUMMYFUNCTION("""COMPUTED_VALUE"""),90.0)</f>
        <v>90</v>
      </c>
      <c r="D243" s="16"/>
      <c r="E243" s="16" t="str">
        <f>IFERROR(__xludf.DUMMYFUNCTION("""COMPUTED_VALUE"""),"Possess one target, making them under your control until they are killed or banished. Cannot be canceled.")</f>
        <v>Possess one target, making them under your control until they are killed or banished. Cannot be canceled.</v>
      </c>
      <c r="F243" s="16" t="str">
        <f>IFERROR(__xludf.DUMMYFUNCTION("""COMPUTED_VALUE"""),"Fail/Succeed")</f>
        <v>Fail/Succeed</v>
      </c>
      <c r="G243" s="16"/>
      <c r="H243" s="16" t="str">
        <f>IFERROR(__xludf.DUMMYFUNCTION("""COMPUTED_VALUE"""),"Spirit")</f>
        <v>Spirit</v>
      </c>
    </row>
    <row r="244">
      <c r="A244" s="16" t="str">
        <f>IFERROR(__xludf.DUMMYFUNCTION("""COMPUTED_VALUE"""),"Rain of Souls")</f>
        <v>Rain of Souls</v>
      </c>
      <c r="B244" s="16">
        <f>IFERROR(__xludf.DUMMYFUNCTION("""COMPUTED_VALUE"""),9.0)</f>
        <v>9</v>
      </c>
      <c r="C244" s="16">
        <f>IFERROR(__xludf.DUMMYFUNCTION("""COMPUTED_VALUE"""),300.0)</f>
        <v>300</v>
      </c>
      <c r="D244" s="16"/>
      <c r="E244" s="16" t="str">
        <f>IFERROR(__xludf.DUMMYFUNCTION("""COMPUTED_VALUE"""),"Release X amount of souls to regain X*100 SP for self and allies.")</f>
        <v>Release X amount of souls to regain X*100 SP for self and allies.</v>
      </c>
      <c r="F244" s="16" t="str">
        <f>IFERROR(__xludf.DUMMYFUNCTION("""COMPUTED_VALUE"""),"Will Succeed")</f>
        <v>Will Succeed</v>
      </c>
      <c r="G244" s="16"/>
      <c r="H244" s="16" t="str">
        <f>IFERROR(__xludf.DUMMYFUNCTION("""COMPUTED_VALUE"""),"Spirit")</f>
        <v>Spirit</v>
      </c>
    </row>
    <row r="245">
      <c r="A245" s="16" t="str">
        <f>IFERROR(__xludf.DUMMYFUNCTION("""COMPUTED_VALUE"""),"Soul Absorption")</f>
        <v>Soul Absorption</v>
      </c>
      <c r="B245" s="16">
        <f>IFERROR(__xludf.DUMMYFUNCTION("""COMPUTED_VALUE"""),8.0)</f>
        <v>8</v>
      </c>
      <c r="C245" s="16">
        <f>IFERROR(__xludf.DUMMYFUNCTION("""COMPUTED_VALUE"""),200.0)</f>
        <v>200</v>
      </c>
      <c r="D245" s="16"/>
      <c r="E245"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5" s="16" t="str">
        <f>IFERROR(__xludf.DUMMYFUNCTION("""COMPUTED_VALUE"""),"Fail/succeed")</f>
        <v>Fail/succeed</v>
      </c>
      <c r="G245" s="16"/>
      <c r="H245" s="16" t="str">
        <f>IFERROR(__xludf.DUMMYFUNCTION("""COMPUTED_VALUE"""),"Spirit")</f>
        <v>Spirit</v>
      </c>
    </row>
    <row r="246">
      <c r="A246" s="16" t="str">
        <f>IFERROR(__xludf.DUMMYFUNCTION("""COMPUTED_VALUE"""),"Soul Rend")</f>
        <v>Soul Rend</v>
      </c>
      <c r="B246" s="16">
        <f>IFERROR(__xludf.DUMMYFUNCTION("""COMPUTED_VALUE"""),5.0)</f>
        <v>5</v>
      </c>
      <c r="C246" s="16">
        <f>IFERROR(__xludf.DUMMYFUNCTION("""COMPUTED_VALUE"""),200.0)</f>
        <v>200</v>
      </c>
      <c r="D246" s="16"/>
      <c r="E246" s="16" t="str">
        <f>IFERROR(__xludf.DUMMYFUNCTION("""COMPUTED_VALUE"""),"Deal 2000 unblockable spirit damage and inflict the enemy with 10 Soulburn")</f>
        <v>Deal 2000 unblockable spirit damage and inflict the enemy with 10 Soulburn</v>
      </c>
      <c r="F246" s="16" t="str">
        <f>IFERROR(__xludf.DUMMYFUNCTION("""COMPUTED_VALUE"""),"Hit or MIss")</f>
        <v>Hit or MIss</v>
      </c>
      <c r="G246" s="16">
        <f>IFERROR(__xludf.DUMMYFUNCTION("""COMPUTED_VALUE"""),1.0)</f>
        <v>1</v>
      </c>
      <c r="H246" s="16" t="str">
        <f>IFERROR(__xludf.DUMMYFUNCTION("""COMPUTED_VALUE"""),"Spirit")</f>
        <v>Spirit</v>
      </c>
    </row>
    <row r="247">
      <c r="A247" s="16" t="str">
        <f>IFERROR(__xludf.DUMMYFUNCTION("""COMPUTED_VALUE"""),"Soul Shot")</f>
        <v>Soul Shot</v>
      </c>
      <c r="B247" s="16">
        <f>IFERROR(__xludf.DUMMYFUNCTION("""COMPUTED_VALUE"""),1.0)</f>
        <v>1</v>
      </c>
      <c r="C247" s="16" t="str">
        <f>IFERROR(__xludf.DUMMYFUNCTION("""COMPUTED_VALUE"""),"X")</f>
        <v>X</v>
      </c>
      <c r="D247" s="16"/>
      <c r="E247" s="16" t="str">
        <f>IFERROR(__xludf.DUMMYFUNCTION("""COMPUTED_VALUE"""),"Deals X*100 Undefendable Spirit damage to a single enemy where X is equal to SP spent.")</f>
        <v>Deals X*100 Undefendable Spirit damage to a single enemy where X is equal to SP spent.</v>
      </c>
      <c r="F247" s="16" t="str">
        <f>IFERROR(__xludf.DUMMYFUNCTION("""COMPUTED_VALUE"""),"Hit/Miss")</f>
        <v>Hit/Miss</v>
      </c>
      <c r="G247" s="16">
        <f>IFERROR(__xludf.DUMMYFUNCTION("""COMPUTED_VALUE"""),1.0)</f>
        <v>1</v>
      </c>
      <c r="H247" s="16" t="str">
        <f>IFERROR(__xludf.DUMMYFUNCTION("""COMPUTED_VALUE"""),"Spirit")</f>
        <v>Spirit</v>
      </c>
    </row>
    <row r="248">
      <c r="A248" s="16" t="str">
        <f>IFERROR(__xludf.DUMMYFUNCTION("""COMPUTED_VALUE"""),"Soul Trap")</f>
        <v>Soul Trap</v>
      </c>
      <c r="B248" s="16">
        <f>IFERROR(__xludf.DUMMYFUNCTION("""COMPUTED_VALUE"""),6.0)</f>
        <v>6</v>
      </c>
      <c r="C248" s="16">
        <f>IFERROR(__xludf.DUMMYFUNCTION("""COMPUTED_VALUE"""),60.0)</f>
        <v>60</v>
      </c>
      <c r="D248" s="16"/>
      <c r="E248" s="16" t="str">
        <f>IFERROR(__xludf.DUMMYFUNCTION("""COMPUTED_VALUE"""),"Trap 1 target in a soul binding cage causing Stun 3.")</f>
        <v>Trap 1 target in a soul binding cage causing Stun 3.</v>
      </c>
      <c r="F248" s="16" t="str">
        <f>IFERROR(__xludf.DUMMYFUNCTION("""COMPUTED_VALUE"""),"Fail/Succeed")</f>
        <v>Fail/Succeed</v>
      </c>
      <c r="G248" s="16"/>
      <c r="H248" s="16" t="str">
        <f>IFERROR(__xludf.DUMMYFUNCTION("""COMPUTED_VALUE"""),"Spirit")</f>
        <v>Spirit</v>
      </c>
    </row>
    <row r="249">
      <c r="A249" s="16" t="str">
        <f>IFERROR(__xludf.DUMMYFUNCTION("""COMPUTED_VALUE"""),"SP Recover")</f>
        <v>SP Recover</v>
      </c>
      <c r="B249" s="16">
        <f>IFERROR(__xludf.DUMMYFUNCTION("""COMPUTED_VALUE"""),1.0)</f>
        <v>1</v>
      </c>
      <c r="C249" s="16">
        <f>IFERROR(__xludf.DUMMYFUNCTION("""COMPUTED_VALUE"""),0.0)</f>
        <v>0</v>
      </c>
      <c r="D249" s="16"/>
      <c r="E249" s="16" t="str">
        <f>IFERROR(__xludf.DUMMYFUNCTION("""COMPUTED_VALUE"""),"Regain 5000 SP. Can only be used three times per character per session.")</f>
        <v>Regain 5000 SP. Can only be used three times per character per session.</v>
      </c>
      <c r="F249" s="16" t="str">
        <f>IFERROR(__xludf.DUMMYFUNCTION("""COMPUTED_VALUE"""),"Natural/Will Succeed")</f>
        <v>Natural/Will Succeed</v>
      </c>
      <c r="G249" s="16"/>
      <c r="H249" s="16" t="str">
        <f>IFERROR(__xludf.DUMMYFUNCTION("""COMPUTED_VALUE"""),"Spirit")</f>
        <v>Spirit</v>
      </c>
    </row>
    <row r="250">
      <c r="A250" s="16" t="str">
        <f>IFERROR(__xludf.DUMMYFUNCTION("""COMPUTED_VALUE"""),"Spectral Lash")</f>
        <v>Spectral Lash</v>
      </c>
      <c r="B250" s="16">
        <f>IFERROR(__xludf.DUMMYFUNCTION("""COMPUTED_VALUE"""),7.0)</f>
        <v>7</v>
      </c>
      <c r="C250" s="16">
        <f>IFERROR(__xludf.DUMMYFUNCTION("""COMPUTED_VALUE"""),500.0)</f>
        <v>500</v>
      </c>
      <c r="D250" s="16"/>
      <c r="E250" s="16" t="str">
        <f>IFERROR(__xludf.DUMMYFUNCTION("""COMPUTED_VALUE"""),"Unleash a stream of spectral magic upon an enemy inflicting them with Slowness 3 and Disoriented 5")</f>
        <v>Unleash a stream of spectral magic upon an enemy inflicting them with Slowness 3 and Disoriented 5</v>
      </c>
      <c r="F250" s="16" t="str">
        <f>IFERROR(__xludf.DUMMYFUNCTION("""COMPUTED_VALUE"""),"Fail or Succeed")</f>
        <v>Fail or Succeed</v>
      </c>
      <c r="G250" s="16">
        <f>IFERROR(__xludf.DUMMYFUNCTION("""COMPUTED_VALUE"""),1.0)</f>
        <v>1</v>
      </c>
      <c r="H250" s="16" t="str">
        <f>IFERROR(__xludf.DUMMYFUNCTION("""COMPUTED_VALUE"""),"Spirit")</f>
        <v>Spirit</v>
      </c>
    </row>
    <row r="251">
      <c r="A251" s="16" t="str">
        <f>IFERROR(__xludf.DUMMYFUNCTION("""COMPUTED_VALUE"""),"Spirit Drain")</f>
        <v>Spirit Drain</v>
      </c>
      <c r="B251" s="16">
        <f>IFERROR(__xludf.DUMMYFUNCTION("""COMPUTED_VALUE"""),6.0)</f>
        <v>6</v>
      </c>
      <c r="C251" s="16" t="str">
        <f>IFERROR(__xludf.DUMMYFUNCTION("""COMPUTED_VALUE"""),"½ Current SP")</f>
        <v>½ Current SP</v>
      </c>
      <c r="D251" s="16"/>
      <c r="E251" s="16" t="str">
        <f>IFERROR(__xludf.DUMMYFUNCTION("""COMPUTED_VALUE"""),"Costs half current SP, drains half of target’s current SP")</f>
        <v>Costs half current SP, drains half of target’s current SP</v>
      </c>
      <c r="F251" s="16" t="str">
        <f>IFERROR(__xludf.DUMMYFUNCTION("""COMPUTED_VALUE"""),"Fail/Succeed")</f>
        <v>Fail/Succeed</v>
      </c>
      <c r="G251" s="16"/>
      <c r="H251" s="16" t="str">
        <f>IFERROR(__xludf.DUMMYFUNCTION("""COMPUTED_VALUE"""),"Spirit")</f>
        <v>Spirit</v>
      </c>
    </row>
    <row r="252">
      <c r="A252" s="16" t="str">
        <f>IFERROR(__xludf.DUMMYFUNCTION("""COMPUTED_VALUE"""),"Spirit Fog")</f>
        <v>Spirit Fog</v>
      </c>
      <c r="B252" s="16">
        <f>IFERROR(__xludf.DUMMYFUNCTION("""COMPUTED_VALUE"""),5.0)</f>
        <v>5</v>
      </c>
      <c r="C252" s="16" t="str">
        <f>IFERROR(__xludf.DUMMYFUNCTION("""COMPUTED_VALUE"""),"X")</f>
        <v>X</v>
      </c>
      <c r="D252" s="16"/>
      <c r="E252" s="16" t="str">
        <f>IFERROR(__xludf.DUMMYFUNCTION("""COMPUTED_VALUE"""),"Deals X*25 Undefendable Spirit damage to all enemies where X is equal to SP spent.")</f>
        <v>Deals X*25 Undefendable Spirit damage to all enemies where X is equal to SP spent.</v>
      </c>
      <c r="F252" s="16" t="str">
        <f>IFERROR(__xludf.DUMMYFUNCTION("""COMPUTED_VALUE"""),"Cannot Avoid")</f>
        <v>Cannot Avoid</v>
      </c>
      <c r="G252" s="16" t="str">
        <f>IFERROR(__xludf.DUMMYFUNCTION("""COMPUTED_VALUE"""),"All")</f>
        <v>All</v>
      </c>
      <c r="H252" s="16" t="str">
        <f>IFERROR(__xludf.DUMMYFUNCTION("""COMPUTED_VALUE"""),"Spirit")</f>
        <v>Spirit</v>
      </c>
    </row>
    <row r="253">
      <c r="A253" s="16" t="str">
        <f>IFERROR(__xludf.DUMMYFUNCTION("""COMPUTED_VALUE"""),"Spirit's March")</f>
        <v>Spirit's March</v>
      </c>
      <c r="B253" s="16">
        <f>IFERROR(__xludf.DUMMYFUNCTION("""COMPUTED_VALUE"""),9.0)</f>
        <v>9</v>
      </c>
      <c r="C253" s="16" t="str">
        <f>IFERROR(__xludf.DUMMYFUNCTION("""COMPUTED_VALUE"""),"1d20*120")</f>
        <v>1d20*120</v>
      </c>
      <c r="D253" s="16"/>
      <c r="E253"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3" s="16" t="str">
        <f>IFERROR(__xludf.DUMMYFUNCTION("""COMPUTED_VALUE"""),"Cannot Avoid")</f>
        <v>Cannot Avoid</v>
      </c>
      <c r="G253" s="16" t="str">
        <f>IFERROR(__xludf.DUMMYFUNCTION("""COMPUTED_VALUE"""),"All")</f>
        <v>All</v>
      </c>
      <c r="H253" s="16" t="str">
        <f>IFERROR(__xludf.DUMMYFUNCTION("""COMPUTED_VALUE"""),"Spirit")</f>
        <v>Spirit</v>
      </c>
    </row>
    <row r="254">
      <c r="A254" s="16" t="str">
        <f>IFERROR(__xludf.DUMMYFUNCTION("""COMPUTED_VALUE"""),"Vengeful Strike")</f>
        <v>Vengeful Strike</v>
      </c>
      <c r="B254" s="16">
        <f>IFERROR(__xludf.DUMMYFUNCTION("""COMPUTED_VALUE"""),9.0)</f>
        <v>9</v>
      </c>
      <c r="C254" s="16">
        <f>IFERROR(__xludf.DUMMYFUNCTION("""COMPUTED_VALUE"""),500.0)</f>
        <v>500</v>
      </c>
      <c r="D254" s="16"/>
      <c r="E254"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4" s="16" t="str">
        <f>IFERROR(__xludf.DUMMYFUNCTION("""COMPUTED_VALUE"""),"Fail/Succeed")</f>
        <v>Fail/Succeed</v>
      </c>
      <c r="G254" s="16" t="str">
        <f>IFERROR(__xludf.DUMMYFUNCTION("""COMPUTED_VALUE"""),"Self")</f>
        <v>Self</v>
      </c>
      <c r="H254" s="16" t="str">
        <f>IFERROR(__xludf.DUMMYFUNCTION("""COMPUTED_VALUE"""),"Spirit")</f>
        <v>Spirit</v>
      </c>
    </row>
    <row r="255">
      <c r="A255" s="16" t="str">
        <f>IFERROR(__xludf.DUMMYFUNCTION("""COMPUTED_VALUE"""),"Colliding Forces")</f>
        <v>Colliding Forces</v>
      </c>
      <c r="B255" s="16">
        <f>IFERROR(__xludf.DUMMYFUNCTION("""COMPUTED_VALUE"""),5.0)</f>
        <v>5</v>
      </c>
      <c r="C255" s="16" t="str">
        <f>IFERROR(__xludf.DUMMYFUNCTION("""COMPUTED_VALUE"""),"X")</f>
        <v>X</v>
      </c>
      <c r="D255" s="16"/>
      <c r="E255" s="16" t="str">
        <f>IFERROR(__xludf.DUMMYFUNCTION("""COMPUTED_VALUE"""),"Deals X*15 Order and X*15 Chaos damage to all enemies where X is equal to SP spent.")</f>
        <v>Deals X*15 Order and X*15 Chaos damage to all enemies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IFERROR(__xludf.DUMMYFUNCTION("""COMPUTED_VALUE"""),"Contradiction")</f>
        <v>Contradiction</v>
      </c>
      <c r="B256" s="16">
        <f>IFERROR(__xludf.DUMMYFUNCTION("""COMPUTED_VALUE"""),1.0)</f>
        <v>1</v>
      </c>
      <c r="C256" s="16" t="str">
        <f>IFERROR(__xludf.DUMMYFUNCTION("""COMPUTED_VALUE"""),"X")</f>
        <v>X</v>
      </c>
      <c r="D256" s="16"/>
      <c r="E256" s="16" t="str">
        <f>IFERROR(__xludf.DUMMYFUNCTION("""COMPUTED_VALUE"""),"Deals X*50 Order and X*50 Chaos damage to a single enemy where X is equal to SP spent.")</f>
        <v>Deals X*50 Order and X*50 Chaos damage to a single enemy where X is equal to SP spent.</v>
      </c>
      <c r="F256" s="16" t="str">
        <f>IFERROR(__xludf.DUMMYFUNCTION("""COMPUTED_VALUE"""),"Hit/Miss")</f>
        <v>Hit/Miss</v>
      </c>
      <c r="G256" s="16">
        <f>IFERROR(__xludf.DUMMYFUNCTION("""COMPUTED_VALUE"""),1.0)</f>
        <v>1</v>
      </c>
      <c r="H256" s="16" t="str">
        <f>IFERROR(__xludf.DUMMYFUNCTION("""COMPUTED_VALUE"""),"Stasis")</f>
        <v>Stasis</v>
      </c>
    </row>
    <row r="257">
      <c r="A257" s="16" t="str">
        <f>IFERROR(__xludf.DUMMYFUNCTION("""COMPUTED_VALUE"""),"Mass Static Breakdown")</f>
        <v>Mass Static Breakdown</v>
      </c>
      <c r="B257" s="16">
        <f>IFERROR(__xludf.DUMMYFUNCTION("""COMPUTED_VALUE"""),6.0)</f>
        <v>6</v>
      </c>
      <c r="C257" s="16" t="str">
        <f>IFERROR(__xludf.DUMMYFUNCTION("""COMPUTED_VALUE"""),"X")</f>
        <v>X</v>
      </c>
      <c r="D257" s="16"/>
      <c r="E257" s="16" t="str">
        <f>IFERROR(__xludf.DUMMYFUNCTION("""COMPUTED_VALUE"""),"Deals X*5 Order and X*5 Chaos damage per round to all enemies for 3 rounds where X is equal to SP spent.")</f>
        <v>Deals X*5 Order and X*5 Chaos damage per round to all enemies for 3 rounds where X is equal to SP spent.</v>
      </c>
      <c r="F257" s="16" t="str">
        <f>IFERROR(__xludf.DUMMYFUNCTION("""COMPUTED_VALUE"""),"Cannot Avoid")</f>
        <v>Cannot Avoid</v>
      </c>
      <c r="G257" s="16" t="str">
        <f>IFERROR(__xludf.DUMMYFUNCTION("""COMPUTED_VALUE"""),"All")</f>
        <v>All</v>
      </c>
      <c r="H257" s="16" t="str">
        <f>IFERROR(__xludf.DUMMYFUNCTION("""COMPUTED_VALUE"""),"Stasis")</f>
        <v>Stasis</v>
      </c>
    </row>
    <row r="258">
      <c r="A258" s="16" t="str">
        <f>IFERROR(__xludf.DUMMYFUNCTION("""COMPUTED_VALUE"""),"Stasis Madness")</f>
        <v>Stasis Madness</v>
      </c>
      <c r="B258" s="16">
        <f>IFERROR(__xludf.DUMMYFUNCTION("""COMPUTED_VALUE"""),6.0)</f>
        <v>6</v>
      </c>
      <c r="C258" s="16" t="str">
        <f>IFERROR(__xludf.DUMMYFUNCTION("""COMPUTED_VALUE"""),"X*100")</f>
        <v>X*100</v>
      </c>
      <c r="D258" s="16"/>
      <c r="E258" s="16" t="str">
        <f>IFERROR(__xludf.DUMMYFUNCTION("""COMPUTED_VALUE"""),"Target becomes completely unresponsive for X rounds")</f>
        <v>Target becomes completely unresponsive for X rounds</v>
      </c>
      <c r="F258" s="16" t="str">
        <f>IFERROR(__xludf.DUMMYFUNCTION("""COMPUTED_VALUE"""),"Fail/Succeed")</f>
        <v>Fail/Succeed</v>
      </c>
      <c r="G258" s="16"/>
      <c r="H258" s="16" t="str">
        <f>IFERROR(__xludf.DUMMYFUNCTION("""COMPUTED_VALUE"""),"Stasis")</f>
        <v>Stasis</v>
      </c>
    </row>
    <row r="259">
      <c r="A259" s="16" t="str">
        <f>IFERROR(__xludf.DUMMYFUNCTION("""COMPUTED_VALUE"""),"Stasis Meteor Shower")</f>
        <v>Stasis Meteor Shower</v>
      </c>
      <c r="B259" s="16">
        <f>IFERROR(__xludf.DUMMYFUNCTION("""COMPUTED_VALUE"""),9.0)</f>
        <v>9</v>
      </c>
      <c r="C259" s="16">
        <f>IFERROR(__xludf.DUMMYFUNCTION("""COMPUTED_VALUE"""),300.0)</f>
        <v>300</v>
      </c>
      <c r="D259" s="16"/>
      <c r="E259" s="16" t="str">
        <f>IFERROR(__xludf.DUMMYFUNCTION("""COMPUTED_VALUE"""),"10,000 order, 10,000 chaos damage to all enemies 15% chance of stun 3.")</f>
        <v>10,000 order, 10,000 chaos damage to all enemies 15% chance of stun 3.</v>
      </c>
      <c r="F259" s="16" t="str">
        <f>IFERROR(__xludf.DUMMYFUNCTION("""COMPUTED_VALUE"""),"Cannot be avoided")</f>
        <v>Cannot be avoided</v>
      </c>
      <c r="G259" s="16"/>
      <c r="H259" s="16" t="str">
        <f>IFERROR(__xludf.DUMMYFUNCTION("""COMPUTED_VALUE"""),"Stasis")</f>
        <v>Stasis</v>
      </c>
    </row>
    <row r="260">
      <c r="A260" s="16" t="str">
        <f>IFERROR(__xludf.DUMMYFUNCTION("""COMPUTED_VALUE"""),"Stasis Shield")</f>
        <v>Stasis Shield</v>
      </c>
      <c r="B260" s="16">
        <f>IFERROR(__xludf.DUMMYFUNCTION("""COMPUTED_VALUE"""),4.0)</f>
        <v>4</v>
      </c>
      <c r="C260" s="16">
        <f>IFERROR(__xludf.DUMMYFUNCTION("""COMPUTED_VALUE"""),40.0)</f>
        <v>40</v>
      </c>
      <c r="D260" s="16"/>
      <c r="E260" s="16" t="str">
        <f>IFERROR(__xludf.DUMMYFUNCTION("""COMPUTED_VALUE"""),"X4 def to selected target, and Immunity to order and chaos.")</f>
        <v>X4 def to selected target, and Immunity to order and chaos.</v>
      </c>
      <c r="F260" s="16" t="str">
        <f>IFERROR(__xludf.DUMMYFUNCTION("""COMPUTED_VALUE"""),"Will Succeed")</f>
        <v>Will Succeed</v>
      </c>
      <c r="G260" s="16"/>
      <c r="H260" s="16" t="str">
        <f>IFERROR(__xludf.DUMMYFUNCTION("""COMPUTED_VALUE"""),"Stasis")</f>
        <v>Stasis</v>
      </c>
    </row>
    <row r="261">
      <c r="A261" s="16" t="str">
        <f>IFERROR(__xludf.DUMMYFUNCTION("""COMPUTED_VALUE"""),"Stasis Storm")</f>
        <v>Stasis Storm</v>
      </c>
      <c r="B261" s="16">
        <f>IFERROR(__xludf.DUMMYFUNCTION("""COMPUTED_VALUE"""),2.0)</f>
        <v>2</v>
      </c>
      <c r="C261" s="16">
        <f>IFERROR(__xludf.DUMMYFUNCTION("""COMPUTED_VALUE"""),20.0)</f>
        <v>20</v>
      </c>
      <c r="D261" s="16"/>
      <c r="E261" s="16" t="str">
        <f>IFERROR(__xludf.DUMMYFUNCTION("""COMPUTED_VALUE"""),"1000 continuous order, 1000 continuous chaos damage.")</f>
        <v>1000 continuous order, 1000 continuous chaos damage.</v>
      </c>
      <c r="F261" s="16" t="str">
        <f>IFERROR(__xludf.DUMMYFUNCTION("""COMPUTED_VALUE"""),"Hit or Miss")</f>
        <v>Hit or Miss</v>
      </c>
      <c r="G261" s="16">
        <f>IFERROR(__xludf.DUMMYFUNCTION("""COMPUTED_VALUE"""),1.0)</f>
        <v>1</v>
      </c>
      <c r="H261" s="16" t="str">
        <f>IFERROR(__xludf.DUMMYFUNCTION("""COMPUTED_VALUE"""),"Stasis")</f>
        <v>Stasis</v>
      </c>
    </row>
    <row r="262">
      <c r="A262" s="16" t="str">
        <f>IFERROR(__xludf.DUMMYFUNCTION("""COMPUTED_VALUE"""),"Stasis Strike")</f>
        <v>Stasis Strike</v>
      </c>
      <c r="B262" s="16">
        <f>IFERROR(__xludf.DUMMYFUNCTION("""COMPUTED_VALUE"""),1.0)</f>
        <v>1</v>
      </c>
      <c r="C262" s="16">
        <f>IFERROR(__xludf.DUMMYFUNCTION("""COMPUTED_VALUE"""),10.0)</f>
        <v>10</v>
      </c>
      <c r="D262" s="16"/>
      <c r="E262" s="16" t="str">
        <f>IFERROR(__xludf.DUMMYFUNCTION("""COMPUTED_VALUE"""),"500 order, 500 chaos damage")</f>
        <v>500 order, 500 chaos damage</v>
      </c>
      <c r="F262" s="16" t="str">
        <f>IFERROR(__xludf.DUMMYFUNCTION("""COMPUTED_VALUE"""),"Hit or Miss")</f>
        <v>Hit or Miss</v>
      </c>
      <c r="G262" s="16">
        <f>IFERROR(__xludf.DUMMYFUNCTION("""COMPUTED_VALUE"""),1.0)</f>
        <v>1</v>
      </c>
      <c r="H262" s="16" t="str">
        <f>IFERROR(__xludf.DUMMYFUNCTION("""COMPUTED_VALUE"""),"Stasis")</f>
        <v>Stasis</v>
      </c>
    </row>
    <row r="263">
      <c r="A263" s="16" t="str">
        <f>IFERROR(__xludf.DUMMYFUNCTION("""COMPUTED_VALUE"""),"Stasis Transformation")</f>
        <v>Stasis Transformation</v>
      </c>
      <c r="B263" s="16">
        <f>IFERROR(__xludf.DUMMYFUNCTION("""COMPUTED_VALUE"""),8.0)</f>
        <v>8</v>
      </c>
      <c r="C263" s="16">
        <f>IFERROR(__xludf.DUMMYFUNCTION("""COMPUTED_VALUE"""),200.0)</f>
        <v>200</v>
      </c>
      <c r="D263" s="16"/>
      <c r="E263" s="16" t="str">
        <f>IFERROR(__xludf.DUMMYFUNCTION("""COMPUTED_VALUE"""),"X4 order and chaos damage for self and allies until end of battle.")</f>
        <v>X4 order and chaos damage for self and allies until end of battle.</v>
      </c>
      <c r="F263" s="16" t="str">
        <f>IFERROR(__xludf.DUMMYFUNCTION("""COMPUTED_VALUE"""),"Will succeed")</f>
        <v>Will succeed</v>
      </c>
      <c r="G263" s="16"/>
      <c r="H263" s="16" t="str">
        <f>IFERROR(__xludf.DUMMYFUNCTION("""COMPUTED_VALUE"""),"Stasis")</f>
        <v>Stasis</v>
      </c>
    </row>
    <row r="264">
      <c r="A264" s="16" t="str">
        <f>IFERROR(__xludf.DUMMYFUNCTION("""COMPUTED_VALUE"""),"Stasis Tsunami")</f>
        <v>Stasis Tsunami</v>
      </c>
      <c r="B264" s="16">
        <f>IFERROR(__xludf.DUMMYFUNCTION("""COMPUTED_VALUE"""),9.0)</f>
        <v>9</v>
      </c>
      <c r="C264" s="16">
        <f>IFERROR(__xludf.DUMMYFUNCTION("""COMPUTED_VALUE"""),300.0)</f>
        <v>300</v>
      </c>
      <c r="D264" s="16"/>
      <c r="E264" s="16" t="str">
        <f>IFERROR(__xludf.DUMMYFUNCTION("""COMPUTED_VALUE"""),"10,000 order, 10,000 chaos damage to all enemies.")</f>
        <v>10,000 order, 10,000 chaos damage to all enemies.</v>
      </c>
      <c r="F264" s="16" t="str">
        <f>IFERROR(__xludf.DUMMYFUNCTION("""COMPUTED_VALUE"""),"Cannot be avoided")</f>
        <v>Cannot be avoided</v>
      </c>
      <c r="G264" s="16"/>
      <c r="H264" s="16" t="str">
        <f>IFERROR(__xludf.DUMMYFUNCTION("""COMPUTED_VALUE"""),"Stasis")</f>
        <v>Stasis</v>
      </c>
    </row>
    <row r="265">
      <c r="A265" s="16" t="str">
        <f>IFERROR(__xludf.DUMMYFUNCTION("""COMPUTED_VALUE"""),"Static Breakdown")</f>
        <v>Static Breakdown</v>
      </c>
      <c r="B265" s="16">
        <f>IFERROR(__xludf.DUMMYFUNCTION("""COMPUTED_VALUE"""),5.0)</f>
        <v>5</v>
      </c>
      <c r="C265" s="16" t="str">
        <f>IFERROR(__xludf.DUMMYFUNCTION("""COMPUTED_VALUE"""),"X")</f>
        <v>X</v>
      </c>
      <c r="D265" s="16"/>
      <c r="E265" s="16" t="str">
        <f>IFERROR(__xludf.DUMMYFUNCTION("""COMPUTED_VALUE"""),"Deals X*25 Order and X*25 Chaos damage per round for 3 rounds to a single target where X is equal to SP spent.")</f>
        <v>Deals X*25 Order and X*25 Chaos damage per round for 3 rounds to a single target where X is equal to SP spent.</v>
      </c>
      <c r="F265" s="16" t="str">
        <f>IFERROR(__xludf.DUMMYFUNCTION("""COMPUTED_VALUE"""),"Hit/Miss")</f>
        <v>Hit/Miss</v>
      </c>
      <c r="G265" s="16">
        <f>IFERROR(__xludf.DUMMYFUNCTION("""COMPUTED_VALUE"""),1.0)</f>
        <v>1</v>
      </c>
      <c r="H265" s="16" t="str">
        <f>IFERROR(__xludf.DUMMYFUNCTION("""COMPUTED_VALUE"""),"Stasis")</f>
        <v>Stasis</v>
      </c>
    </row>
    <row r="266">
      <c r="A266" s="16" t="str">
        <f>IFERROR(__xludf.DUMMYFUNCTION("""COMPUTED_VALUE"""),"Tower Of Stasis")</f>
        <v>Tower Of Stasis</v>
      </c>
      <c r="B266" s="16">
        <f>IFERROR(__xludf.DUMMYFUNCTION("""COMPUTED_VALUE"""),8.0)</f>
        <v>8</v>
      </c>
      <c r="C266" s="16">
        <f>IFERROR(__xludf.DUMMYFUNCTION("""COMPUTED_VALUE"""),200.0)</f>
        <v>200</v>
      </c>
      <c r="D266" s="16"/>
      <c r="E266"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6" s="16" t="str">
        <f>IFERROR(__xludf.DUMMYFUNCTION("""COMPUTED_VALUE"""),"Fail or succeed")</f>
        <v>Fail or succeed</v>
      </c>
      <c r="G266" s="16">
        <f>IFERROR(__xludf.DUMMYFUNCTION("""COMPUTED_VALUE"""),1.0)</f>
        <v>1</v>
      </c>
      <c r="H266" s="16" t="str">
        <f>IFERROR(__xludf.DUMMYFUNCTION("""COMPUTED_VALUE"""),"Stasis")</f>
        <v>Stasis</v>
      </c>
    </row>
    <row r="267">
      <c r="A267" s="16" t="str">
        <f>IFERROR(__xludf.DUMMYFUNCTION("""COMPUTED_VALUE"""),"Brewing Storm")</f>
        <v>Brewing Storm</v>
      </c>
      <c r="B267" s="16">
        <f>IFERROR(__xludf.DUMMYFUNCTION("""COMPUTED_VALUE"""),9.0)</f>
        <v>9</v>
      </c>
      <c r="C267" s="16">
        <f>IFERROR(__xludf.DUMMYFUNCTION("""COMPUTED_VALUE"""),500.0)</f>
        <v>500</v>
      </c>
      <c r="D267" s="16"/>
      <c r="E267"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7" s="16" t="str">
        <f>IFERROR(__xludf.DUMMYFUNCTION("""COMPUTED_VALUE"""),"Will Succeed")</f>
        <v>Will Succeed</v>
      </c>
      <c r="G267" s="16" t="str">
        <f>IFERROR(__xludf.DUMMYFUNCTION("""COMPUTED_VALUE"""),"All")</f>
        <v>All</v>
      </c>
      <c r="H267" s="16" t="str">
        <f>IFERROR(__xludf.DUMMYFUNCTION("""COMPUTED_VALUE"""),"Storm")</f>
        <v>Storm</v>
      </c>
    </row>
    <row r="268">
      <c r="A268" s="16" t="str">
        <f>IFERROR(__xludf.DUMMYFUNCTION("""COMPUTED_VALUE"""),"Calm storm")</f>
        <v>Calm storm</v>
      </c>
      <c r="B268" s="16">
        <f>IFERROR(__xludf.DUMMYFUNCTION("""COMPUTED_VALUE"""),7.0)</f>
        <v>7</v>
      </c>
      <c r="C268" s="16" t="str">
        <f>IFERROR(__xludf.DUMMYFUNCTION("""COMPUTED_VALUE"""),"X")</f>
        <v>X</v>
      </c>
      <c r="D268" s="16"/>
      <c r="E268" s="16" t="str">
        <f>IFERROR(__xludf.DUMMYFUNCTION("""COMPUTED_VALUE"""),"Negate X*4 points of storm damage.")</f>
        <v>Negate X*4 points of storm damage.</v>
      </c>
      <c r="F268" s="16" t="str">
        <f>IFERROR(__xludf.DUMMYFUNCTION("""COMPUTED_VALUE"""),"Fail/Succeed")</f>
        <v>Fail/Succeed</v>
      </c>
      <c r="G268" s="16"/>
      <c r="H268" s="16" t="str">
        <f>IFERROR(__xludf.DUMMYFUNCTION("""COMPUTED_VALUE"""),"Storm")</f>
        <v>Storm</v>
      </c>
    </row>
    <row r="269">
      <c r="A269" s="16" t="str">
        <f>IFERROR(__xludf.DUMMYFUNCTION("""COMPUTED_VALUE"""),"Chain Lightning")</f>
        <v>Chain Lightning</v>
      </c>
      <c r="B269" s="16">
        <f>IFERROR(__xludf.DUMMYFUNCTION("""COMPUTED_VALUE"""),5.0)</f>
        <v>5</v>
      </c>
      <c r="C269" s="16" t="str">
        <f>IFERROR(__xludf.DUMMYFUNCTION("""COMPUTED_VALUE"""),"X")</f>
        <v>X</v>
      </c>
      <c r="D269" s="16"/>
      <c r="E269" s="16" t="str">
        <f>IFERROR(__xludf.DUMMYFUNCTION("""COMPUTED_VALUE"""),"Deals X*25 Storm damage to all enemies where X is equal to SP spent.")</f>
        <v>Deals X*25 Storm damage to all enemies where X is equal to SP spent.</v>
      </c>
      <c r="F269" s="16" t="str">
        <f>IFERROR(__xludf.DUMMYFUNCTION("""COMPUTED_VALUE"""),"Cannot Avoid")</f>
        <v>Cannot Avoid</v>
      </c>
      <c r="G269" s="16" t="str">
        <f>IFERROR(__xludf.DUMMYFUNCTION("""COMPUTED_VALUE"""),"All")</f>
        <v>All</v>
      </c>
      <c r="H269" s="16" t="str">
        <f>IFERROR(__xludf.DUMMYFUNCTION("""COMPUTED_VALUE"""),"Storm")</f>
        <v>Storm</v>
      </c>
    </row>
    <row r="270">
      <c r="A270" s="16" t="str">
        <f>IFERROR(__xludf.DUMMYFUNCTION("""COMPUTED_VALUE"""),"Cyclone")</f>
        <v>Cyclone</v>
      </c>
      <c r="B270" s="16">
        <f>IFERROR(__xludf.DUMMYFUNCTION("""COMPUTED_VALUE"""),3.0)</f>
        <v>3</v>
      </c>
      <c r="C270" s="16">
        <f>IFERROR(__xludf.DUMMYFUNCTION("""COMPUTED_VALUE"""),240.0)</f>
        <v>240</v>
      </c>
      <c r="D270" s="16"/>
      <c r="E270" s="16" t="str">
        <f>IFERROR(__xludf.DUMMYFUNCTION("""COMPUTED_VALUE"""),"3000 Storm Damage and 3000 Water damage to all enemies. ")</f>
        <v>3000 Storm Damage and 3000 Water damage to all enemies. </v>
      </c>
      <c r="F270" s="16" t="str">
        <f>IFERROR(__xludf.DUMMYFUNCTION("""COMPUTED_VALUE"""),"Cannot Avoid")</f>
        <v>Cannot Avoid</v>
      </c>
      <c r="G270" s="16"/>
      <c r="H270" s="16" t="str">
        <f>IFERROR(__xludf.DUMMYFUNCTION("""COMPUTED_VALUE"""),"Storm")</f>
        <v>Storm</v>
      </c>
    </row>
    <row r="271">
      <c r="A271" s="16" t="str">
        <f>IFERROR(__xludf.DUMMYFUNCTION("""COMPUTED_VALUE"""),"Dreading Storm")</f>
        <v>Dreading Storm</v>
      </c>
      <c r="B271" s="16">
        <f>IFERROR(__xludf.DUMMYFUNCTION("""COMPUTED_VALUE"""),8.0)</f>
        <v>8</v>
      </c>
      <c r="C271" s="16">
        <f>IFERROR(__xludf.DUMMYFUNCTION("""COMPUTED_VALUE"""),200.0)</f>
        <v>200</v>
      </c>
      <c r="D271" s="16"/>
      <c r="E271" s="16" t="str">
        <f>IFERROR(__xludf.DUMMYFUNCTION("""COMPUTED_VALUE"""),"5000 storm damage to all enemies, 50% chance to negate the next incoming stun attempts.")</f>
        <v>5000 storm damage to all enemies, 50% chance to negate the next incoming stun attempts.</v>
      </c>
      <c r="F271" s="16" t="str">
        <f>IFERROR(__xludf.DUMMYFUNCTION("""COMPUTED_VALUE"""),"Cannot Avoid")</f>
        <v>Cannot Avoid</v>
      </c>
      <c r="G271" s="16"/>
      <c r="H271" s="16" t="str">
        <f>IFERROR(__xludf.DUMMYFUNCTION("""COMPUTED_VALUE"""),"Storm")</f>
        <v>Storm</v>
      </c>
    </row>
    <row r="272">
      <c r="A272" s="16" t="str">
        <f>IFERROR(__xludf.DUMMYFUNCTION("""COMPUTED_VALUE"""),"Eel Nado")</f>
        <v>Eel Nado</v>
      </c>
      <c r="B272" s="16">
        <f>IFERROR(__xludf.DUMMYFUNCTION("""COMPUTED_VALUE"""),9.0)</f>
        <v>9</v>
      </c>
      <c r="C272" s="16">
        <f>IFERROR(__xludf.DUMMYFUNCTION("""COMPUTED_VALUE"""),800.0)</f>
        <v>800</v>
      </c>
      <c r="D272" s="16"/>
      <c r="E272" s="16" t="str">
        <f>IFERROR(__xludf.DUMMYFUNCTION("""COMPUTED_VALUE"""),"20,000 storm and water damage to all enemies, 75% chance to summon 2 Eel Sharks if the battle is in water. ")</f>
        <v>20,000 storm and water damage to all enemies, 75% chance to summon 2 Eel Sharks if the battle is in water. </v>
      </c>
      <c r="F272" s="16" t="str">
        <f>IFERROR(__xludf.DUMMYFUNCTION("""COMPUTED_VALUE"""),"Hit/Miss")</f>
        <v>Hit/Miss</v>
      </c>
      <c r="G272" s="16">
        <f>IFERROR(__xludf.DUMMYFUNCTION("""COMPUTED_VALUE"""),1.0)</f>
        <v>1</v>
      </c>
      <c r="H272" s="16" t="str">
        <f>IFERROR(__xludf.DUMMYFUNCTION("""COMPUTED_VALUE"""),"Storm")</f>
        <v>Storm</v>
      </c>
    </row>
    <row r="273">
      <c r="A273" s="16" t="str">
        <f>IFERROR(__xludf.DUMMYFUNCTION("""COMPUTED_VALUE"""),"Elemental Storm")</f>
        <v>Elemental Storm</v>
      </c>
      <c r="B273" s="16">
        <f>IFERROR(__xludf.DUMMYFUNCTION("""COMPUTED_VALUE"""),9.0)</f>
        <v>9</v>
      </c>
      <c r="C273" s="16">
        <f>IFERROR(__xludf.DUMMYFUNCTION("""COMPUTED_VALUE"""),7200.0)</f>
        <v>7200</v>
      </c>
      <c r="D273" s="16"/>
      <c r="E273" s="16" t="str">
        <f>IFERROR(__xludf.DUMMYFUNCTION("""COMPUTED_VALUE"""),"20,000 fire, water, earth, light, dark, order, chaos, nature, and storm damage to all enemies.")</f>
        <v>20,000 fire, water, earth, light, dark, order, chaos, nature, and storm damage to all enemies.</v>
      </c>
      <c r="F273" s="16" t="str">
        <f>IFERROR(__xludf.DUMMYFUNCTION("""COMPUTED_VALUE"""),"Cannot Avoid")</f>
        <v>Cannot Avoid</v>
      </c>
      <c r="G273" s="16"/>
      <c r="H273" s="16" t="str">
        <f>IFERROR(__xludf.DUMMYFUNCTION("""COMPUTED_VALUE"""),"Storm")</f>
        <v>Storm</v>
      </c>
    </row>
    <row r="274">
      <c r="A274" s="16" t="str">
        <f>IFERROR(__xludf.DUMMYFUNCTION("""COMPUTED_VALUE"""),"Freezing Fog")</f>
        <v>Freezing Fog</v>
      </c>
      <c r="B274" s="16">
        <f>IFERROR(__xludf.DUMMYFUNCTION("""COMPUTED_VALUE"""),9.0)</f>
        <v>9</v>
      </c>
      <c r="C274" s="16">
        <f>IFERROR(__xludf.DUMMYFUNCTION("""COMPUTED_VALUE"""),300.0)</f>
        <v>300</v>
      </c>
      <c r="D274" s="16"/>
      <c r="E274" s="16" t="str">
        <f>IFERROR(__xludf.DUMMYFUNCTION("""COMPUTED_VALUE"""),"50% chance of freezing 1d6 enemies.")</f>
        <v>50% chance of freezing 1d6 enemies.</v>
      </c>
      <c r="F274" s="16" t="str">
        <f>IFERROR(__xludf.DUMMYFUNCTION("""COMPUTED_VALUE"""),"Will Succeed")</f>
        <v>Will Succeed</v>
      </c>
      <c r="G274" s="16" t="str">
        <f>IFERROR(__xludf.DUMMYFUNCTION("""COMPUTED_VALUE"""),"1d6")</f>
        <v>1d6</v>
      </c>
      <c r="H274" s="16" t="str">
        <f>IFERROR(__xludf.DUMMYFUNCTION("""COMPUTED_VALUE"""),"Storm")</f>
        <v>Storm</v>
      </c>
    </row>
    <row r="275">
      <c r="A275" s="16" t="str">
        <f>IFERROR(__xludf.DUMMYFUNCTION("""COMPUTED_VALUE"""),"Gust of Wind")</f>
        <v>Gust of Wind</v>
      </c>
      <c r="B275" s="16">
        <f>IFERROR(__xludf.DUMMYFUNCTION("""COMPUTED_VALUE"""),2.0)</f>
        <v>2</v>
      </c>
      <c r="C275" s="16">
        <f>IFERROR(__xludf.DUMMYFUNCTION("""COMPUTED_VALUE"""),80.0)</f>
        <v>80</v>
      </c>
      <c r="D275" s="16"/>
      <c r="E275" s="16" t="str">
        <f>IFERROR(__xludf.DUMMYFUNCTION("""COMPUTED_VALUE"""),"2000 storm damage to all enemies. 50% chance to remove those targets from battle.")</f>
        <v>2000 storm damage to all enemies. 50% chance to remove those targets from battle.</v>
      </c>
      <c r="F275" s="16" t="str">
        <f>IFERROR(__xludf.DUMMYFUNCTION("""COMPUTED_VALUE"""),"Cannot Avoid")</f>
        <v>Cannot Avoid</v>
      </c>
      <c r="G275" s="16" t="str">
        <f>IFERROR(__xludf.DUMMYFUNCTION("""COMPUTED_VALUE"""),"All")</f>
        <v>All</v>
      </c>
      <c r="H275" s="16" t="str">
        <f>IFERROR(__xludf.DUMMYFUNCTION("""COMPUTED_VALUE"""),"Storm")</f>
        <v>Storm</v>
      </c>
    </row>
    <row r="276">
      <c r="A276" s="16" t="str">
        <f>IFERROR(__xludf.DUMMYFUNCTION("""COMPUTED_VALUE"""),"Hurricane")</f>
        <v>Hurricane</v>
      </c>
      <c r="B276" s="16">
        <f>IFERROR(__xludf.DUMMYFUNCTION("""COMPUTED_VALUE"""),3.0)</f>
        <v>3</v>
      </c>
      <c r="C276" s="16" t="str">
        <f>IFERROR(__xludf.DUMMYFUNCTION("""COMPUTED_VALUE"""),"d12*20")</f>
        <v>d12*20</v>
      </c>
      <c r="D276" s="16"/>
      <c r="E276"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IFERROR(__xludf.DUMMYFUNCTION("""COMPUTED_VALUE"""),"Lightning Strike")</f>
        <v>Lightning Strike</v>
      </c>
      <c r="B277" s="16">
        <f>IFERROR(__xludf.DUMMYFUNCTION("""COMPUTED_VALUE"""),1.0)</f>
        <v>1</v>
      </c>
      <c r="C277" s="16" t="str">
        <f>IFERROR(__xludf.DUMMYFUNCTION("""COMPUTED_VALUE"""),"X")</f>
        <v>X</v>
      </c>
      <c r="D277" s="16"/>
      <c r="E277" s="16" t="str">
        <f>IFERROR(__xludf.DUMMYFUNCTION("""COMPUTED_VALUE"""),"Deals X*100 Storm damage to a single enemy where X is equal to SP spent.")</f>
        <v>Deals X*100 Storm damage to a single enemy where X is equal to SP spent.</v>
      </c>
      <c r="F277" s="16" t="str">
        <f>IFERROR(__xludf.DUMMYFUNCTION("""COMPUTED_VALUE"""),"Hit/Miss")</f>
        <v>Hit/Miss</v>
      </c>
      <c r="G277" s="16">
        <f>IFERROR(__xludf.DUMMYFUNCTION("""COMPUTED_VALUE"""),1.0)</f>
        <v>1</v>
      </c>
      <c r="H277" s="16" t="str">
        <f>IFERROR(__xludf.DUMMYFUNCTION("""COMPUTED_VALUE"""),"Storm")</f>
        <v>Storm</v>
      </c>
    </row>
    <row r="278">
      <c r="A278" s="16" t="str">
        <f>IFERROR(__xludf.DUMMYFUNCTION("""COMPUTED_VALUE"""),"Mass Charge")</f>
        <v>Mass Charge</v>
      </c>
      <c r="B278" s="16">
        <f>IFERROR(__xludf.DUMMYFUNCTION("""COMPUTED_VALUE"""),6.0)</f>
        <v>6</v>
      </c>
      <c r="C278" s="16" t="str">
        <f>IFERROR(__xludf.DUMMYFUNCTION("""COMPUTED_VALUE"""),"X")</f>
        <v>X</v>
      </c>
      <c r="D278" s="16"/>
      <c r="E278" s="16" t="str">
        <f>IFERROR(__xludf.DUMMYFUNCTION("""COMPUTED_VALUE"""),"Deals X*10 Storm damage per round to all enemies for 3 rounds where X is equal to SP spent.")</f>
        <v>Deals X*10 Storm damage per round to all enemies for 3 rounds where X is equal to SP spent.</v>
      </c>
      <c r="F278" s="16" t="str">
        <f>IFERROR(__xludf.DUMMYFUNCTION("""COMPUTED_VALUE"""),"Cannot Avoid")</f>
        <v>Cannot Avoid</v>
      </c>
      <c r="G278" s="16" t="str">
        <f>IFERROR(__xludf.DUMMYFUNCTION("""COMPUTED_VALUE"""),"All")</f>
        <v>All</v>
      </c>
      <c r="H278" s="16" t="str">
        <f>IFERROR(__xludf.DUMMYFUNCTION("""COMPUTED_VALUE"""),"Storm")</f>
        <v>Storm</v>
      </c>
    </row>
    <row r="279">
      <c r="A279" s="16" t="str">
        <f>IFERROR(__xludf.DUMMYFUNCTION("""COMPUTED_VALUE"""),"Roaring Frost Winds")</f>
        <v>Roaring Frost Winds</v>
      </c>
      <c r="B279" s="16">
        <f>IFERROR(__xludf.DUMMYFUNCTION("""COMPUTED_VALUE"""),8.0)</f>
        <v>8</v>
      </c>
      <c r="C279" s="16">
        <f>IFERROR(__xludf.DUMMYFUNCTION("""COMPUTED_VALUE"""),560.0)</f>
        <v>560</v>
      </c>
      <c r="D279" s="16"/>
      <c r="E279" s="16" t="str">
        <f>IFERROR(__xludf.DUMMYFUNCTION("""COMPUTED_VALUE"""),"14,000 storm damage to all enemies, 50% chance to freeze all targets.")</f>
        <v>14,000 storm damage to all enemies, 50% chance to freeze all targets.</v>
      </c>
      <c r="F279" s="16" t="str">
        <f>IFERROR(__xludf.DUMMYFUNCTION("""COMPUTED_VALUE"""),"Cannot Avoid")</f>
        <v>Cannot Avoid</v>
      </c>
      <c r="G279" s="16"/>
      <c r="H279" s="16" t="str">
        <f>IFERROR(__xludf.DUMMYFUNCTION("""COMPUTED_VALUE"""),"Storm")</f>
        <v>Storm</v>
      </c>
    </row>
    <row r="280">
      <c r="A280" s="16" t="str">
        <f>IFERROR(__xludf.DUMMYFUNCTION("""COMPUTED_VALUE"""),"Shocking Strike")</f>
        <v>Shocking Strike</v>
      </c>
      <c r="B280" s="16">
        <f>IFERROR(__xludf.DUMMYFUNCTION("""COMPUTED_VALUE"""),6.0)</f>
        <v>6</v>
      </c>
      <c r="C280" s="16">
        <f>IFERROR(__xludf.DUMMYFUNCTION("""COMPUTED_VALUE"""),240.0)</f>
        <v>240</v>
      </c>
      <c r="D280" s="16"/>
      <c r="E280" s="16" t="str">
        <f>IFERROR(__xludf.DUMMYFUNCTION("""COMPUTED_VALUE"""),"6000 storm damage, Stun 3")</f>
        <v>6000 storm damage, Stun 3</v>
      </c>
      <c r="F280" s="16" t="str">
        <f>IFERROR(__xludf.DUMMYFUNCTION("""COMPUTED_VALUE"""),"Hit/Miss")</f>
        <v>Hit/Miss</v>
      </c>
      <c r="G280" s="16">
        <f>IFERROR(__xludf.DUMMYFUNCTION("""COMPUTED_VALUE"""),1.0)</f>
        <v>1</v>
      </c>
      <c r="H280" s="16" t="str">
        <f>IFERROR(__xludf.DUMMYFUNCTION("""COMPUTED_VALUE"""),"Storm")</f>
        <v>Storm</v>
      </c>
    </row>
    <row r="281">
      <c r="A281" s="16" t="str">
        <f>IFERROR(__xludf.DUMMYFUNCTION("""COMPUTED_VALUE"""),"Shocking Touch")</f>
        <v>Shocking Touch</v>
      </c>
      <c r="B281" s="16">
        <f>IFERROR(__xludf.DUMMYFUNCTION("""COMPUTED_VALUE"""),5.0)</f>
        <v>5</v>
      </c>
      <c r="C281" s="16" t="str">
        <f>IFERROR(__xludf.DUMMYFUNCTION("""COMPUTED_VALUE"""),"X")</f>
        <v>X</v>
      </c>
      <c r="D281" s="16"/>
      <c r="E281" s="16" t="str">
        <f>IFERROR(__xludf.DUMMYFUNCTION("""COMPUTED_VALUE"""),"Deals X*50 Storm damage per round for 3 rounds to a single target where X is equal to SP spent.")</f>
        <v>Deals X*50 Storm damage per round for 3 rounds to a single target where X is equal to SP spent.</v>
      </c>
      <c r="F281" s="16" t="str">
        <f>IFERROR(__xludf.DUMMYFUNCTION("""COMPUTED_VALUE"""),"Hit/Miss")</f>
        <v>Hit/Miss</v>
      </c>
      <c r="G281" s="16">
        <f>IFERROR(__xludf.DUMMYFUNCTION("""COMPUTED_VALUE"""),1.0)</f>
        <v>1</v>
      </c>
      <c r="H281" s="16" t="str">
        <f>IFERROR(__xludf.DUMMYFUNCTION("""COMPUTED_VALUE"""),"Storm")</f>
        <v>Storm</v>
      </c>
    </row>
    <row r="282">
      <c r="A282" s="16" t="str">
        <f>IFERROR(__xludf.DUMMYFUNCTION("""COMPUTED_VALUE"""),"Static Charge")</f>
        <v>Static Charge</v>
      </c>
      <c r="B282" s="16">
        <f>IFERROR(__xludf.DUMMYFUNCTION("""COMPUTED_VALUE"""),4.0)</f>
        <v>4</v>
      </c>
      <c r="C282" s="16" t="str">
        <f>IFERROR(__xludf.DUMMYFUNCTION("""COMPUTED_VALUE"""),"X")</f>
        <v>X</v>
      </c>
      <c r="D282" s="16"/>
      <c r="E282" s="16" t="str">
        <f>IFERROR(__xludf.DUMMYFUNCTION("""COMPUTED_VALUE"""),"Target gains X*4 Storm damage and X*4 Storm resistance, can’t be used on self.")</f>
        <v>Target gains X*4 Storm damage and X*4 Storm resistance, can’t be used on self.</v>
      </c>
      <c r="F282" s="16" t="str">
        <f>IFERROR(__xludf.DUMMYFUNCTION("""COMPUTED_VALUE"""),"Will Succeed")</f>
        <v>Will Succeed</v>
      </c>
      <c r="G282" s="16"/>
      <c r="H282" s="16" t="str">
        <f>IFERROR(__xludf.DUMMYFUNCTION("""COMPUTED_VALUE"""),"Storm")</f>
        <v>Storm</v>
      </c>
    </row>
    <row r="283">
      <c r="A283" s="16" t="str">
        <f>IFERROR(__xludf.DUMMYFUNCTION("""COMPUTED_VALUE"""),"Stun Negation")</f>
        <v>Stun Negation</v>
      </c>
      <c r="B283" s="16">
        <f>IFERROR(__xludf.DUMMYFUNCTION("""COMPUTED_VALUE"""),6.0)</f>
        <v>6</v>
      </c>
      <c r="C283" s="16">
        <f>IFERROR(__xludf.DUMMYFUNCTION("""COMPUTED_VALUE"""),60.0)</f>
        <v>60</v>
      </c>
      <c r="D283" s="16"/>
      <c r="E283" s="16" t="str">
        <f>IFERROR(__xludf.DUMMYFUNCTION("""COMPUTED_VALUE"""),"Negate the next 3 incoming stun attempts.")</f>
        <v>Negate the next 3 incoming stun attempts.</v>
      </c>
      <c r="F283" s="16" t="str">
        <f>IFERROR(__xludf.DUMMYFUNCTION("""COMPUTED_VALUE"""),"Fail/Succeed")</f>
        <v>Fail/Succeed</v>
      </c>
      <c r="G283" s="16"/>
      <c r="H283" s="16" t="str">
        <f>IFERROR(__xludf.DUMMYFUNCTION("""COMPUTED_VALUE"""),"Storm")</f>
        <v>Storm</v>
      </c>
    </row>
    <row r="284">
      <c r="A284" s="16" t="str">
        <f>IFERROR(__xludf.DUMMYFUNCTION("""COMPUTED_VALUE"""),"Stun Wave")</f>
        <v>Stun Wave</v>
      </c>
      <c r="B284" s="16">
        <f>IFERROR(__xludf.DUMMYFUNCTION("""COMPUTED_VALUE"""),1.0)</f>
        <v>1</v>
      </c>
      <c r="C284" s="16">
        <f>IFERROR(__xludf.DUMMYFUNCTION("""COMPUTED_VALUE"""),10.0)</f>
        <v>10</v>
      </c>
      <c r="D284" s="16"/>
      <c r="E284" s="16" t="str">
        <f>IFERROR(__xludf.DUMMYFUNCTION("""COMPUTED_VALUE"""),"Stun 3")</f>
        <v>Stun 3</v>
      </c>
      <c r="F284" s="16" t="str">
        <f>IFERROR(__xludf.DUMMYFUNCTION("""COMPUTED_VALUE"""),"Fail/Succeed")</f>
        <v>Fail/Succeed</v>
      </c>
      <c r="G284" s="16"/>
      <c r="H284" s="16" t="str">
        <f>IFERROR(__xludf.DUMMYFUNCTION("""COMPUTED_VALUE"""),"Storm")</f>
        <v>Storm</v>
      </c>
    </row>
    <row r="285">
      <c r="A285" s="16" t="str">
        <f>IFERROR(__xludf.DUMMYFUNCTION("""COMPUTED_VALUE"""),"Thunderstorm")</f>
        <v>Thunderstorm</v>
      </c>
      <c r="B285" s="16">
        <f>IFERROR(__xludf.DUMMYFUNCTION("""COMPUTED_VALUE"""),6.0)</f>
        <v>6</v>
      </c>
      <c r="C285" s="16">
        <f>IFERROR(__xludf.DUMMYFUNCTION("""COMPUTED_VALUE"""),60.0)</f>
        <v>60</v>
      </c>
      <c r="D285" s="16"/>
      <c r="E28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5" s="16" t="str">
        <f>IFERROR(__xludf.DUMMYFUNCTION("""COMPUTED_VALUE"""),"Will Succeed")</f>
        <v>Will Succeed</v>
      </c>
      <c r="G285" s="16"/>
      <c r="H285" s="16" t="str">
        <f>IFERROR(__xludf.DUMMYFUNCTION("""COMPUTED_VALUE"""),"Storm")</f>
        <v>Storm</v>
      </c>
    </row>
    <row r="286">
      <c r="A286" s="16" t="str">
        <f>IFERROR(__xludf.DUMMYFUNCTION("""COMPUTED_VALUE"""),"Tornado")</f>
        <v>Tornado</v>
      </c>
      <c r="B286" s="16">
        <f>IFERROR(__xludf.DUMMYFUNCTION("""COMPUTED_VALUE"""),3.0)</f>
        <v>3</v>
      </c>
      <c r="C286" s="16" t="str">
        <f>IFERROR(__xludf.DUMMYFUNCTION("""COMPUTED_VALUE"""),"d20*40")</f>
        <v>d20*40</v>
      </c>
      <c r="D286" s="16"/>
      <c r="E286"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6" s="16" t="str">
        <f>IFERROR(__xludf.DUMMYFUNCTION("""COMPUTED_VALUE"""),"Cannot Avoid")</f>
        <v>Cannot Avoid</v>
      </c>
      <c r="G286" s="16" t="str">
        <f>IFERROR(__xludf.DUMMYFUNCTION("""COMPUTED_VALUE"""),"All")</f>
        <v>All</v>
      </c>
      <c r="H286" s="16" t="str">
        <f>IFERROR(__xludf.DUMMYFUNCTION("""COMPUTED_VALUE"""),"Storm")</f>
        <v>Storm</v>
      </c>
    </row>
    <row r="287">
      <c r="A287" s="16" t="str">
        <f>IFERROR(__xludf.DUMMYFUNCTION("""COMPUTED_VALUE"""),"Tower Of Storm")</f>
        <v>Tower Of Storm</v>
      </c>
      <c r="B287" s="16">
        <f>IFERROR(__xludf.DUMMYFUNCTION("""COMPUTED_VALUE"""),9.0)</f>
        <v>9</v>
      </c>
      <c r="C287" s="16">
        <f>IFERROR(__xludf.DUMMYFUNCTION("""COMPUTED_VALUE"""),300.0)</f>
        <v>300</v>
      </c>
      <c r="D287" s="16"/>
      <c r="E287" s="16" t="str">
        <f>IFERROR(__xludf.DUMMYFUNCTION("""COMPUTED_VALUE"""),"X4 additional storm damage for caster and allies. Plus Storm Immunity to caster only for 3 rounds.")</f>
        <v>X4 additional storm damage for caster and allies. Plus Storm Immunity to caster only for 3 rounds.</v>
      </c>
      <c r="F287" s="16" t="str">
        <f>IFERROR(__xludf.DUMMYFUNCTION("""COMPUTED_VALUE"""),"Fail/Succeed")</f>
        <v>Fail/Succeed</v>
      </c>
      <c r="G287" s="16"/>
      <c r="H287" s="16" t="str">
        <f>IFERROR(__xludf.DUMMYFUNCTION("""COMPUTED_VALUE"""),"Storm")</f>
        <v>Storm</v>
      </c>
    </row>
    <row r="288">
      <c r="A288" s="16" t="str">
        <f>IFERROR(__xludf.DUMMYFUNCTION("""COMPUTED_VALUE"""),"Danse Macabre")</f>
        <v>Danse Macabre</v>
      </c>
      <c r="B288" s="16">
        <f>IFERROR(__xludf.DUMMYFUNCTION("""COMPUTED_VALUE"""),6.0)</f>
        <v>6</v>
      </c>
      <c r="C288" s="16" t="str">
        <f>IFERROR(__xludf.DUMMYFUNCTION("""COMPUTED_VALUE"""),"X")</f>
        <v>X</v>
      </c>
      <c r="D288" s="16"/>
      <c r="E288" s="16" t="str">
        <f>IFERROR(__xludf.DUMMYFUNCTION("""COMPUTED_VALUE"""),"Deals X*5 Light and X*5 Dark damage per round to all enemies for 3 rounds where X is equal to SP spent.")</f>
        <v>Deals X*5 Light and X*5 Dark damage per round to all enemies for 3 rounds where X is equal to SP spent.</v>
      </c>
      <c r="F288" s="16" t="str">
        <f>IFERROR(__xludf.DUMMYFUNCTION("""COMPUTED_VALUE"""),"Cannot Avoid")</f>
        <v>Cannot Avoid</v>
      </c>
      <c r="G288" s="16" t="str">
        <f>IFERROR(__xludf.DUMMYFUNCTION("""COMPUTED_VALUE"""),"All")</f>
        <v>All</v>
      </c>
      <c r="H288" s="16" t="str">
        <f>IFERROR(__xludf.DUMMYFUNCTION("""COMPUTED_VALUE"""),"Twilight")</f>
        <v>Twilight</v>
      </c>
    </row>
    <row r="289">
      <c r="A289" s="16" t="str">
        <f>IFERROR(__xludf.DUMMYFUNCTION("""COMPUTED_VALUE"""),"Lash of Twilight")</f>
        <v>Lash of Twilight</v>
      </c>
      <c r="B289" s="16">
        <f>IFERROR(__xludf.DUMMYFUNCTION("""COMPUTED_VALUE"""),1.0)</f>
        <v>1</v>
      </c>
      <c r="C289" s="16" t="str">
        <f>IFERROR(__xludf.DUMMYFUNCTION("""COMPUTED_VALUE"""),"X")</f>
        <v>X</v>
      </c>
      <c r="D289" s="16"/>
      <c r="E289" s="16" t="str">
        <f>IFERROR(__xludf.DUMMYFUNCTION("""COMPUTED_VALUE"""),"Deals X*50 Light and X*50 Dark damage to a single enemy where X is equal to SP spent.")</f>
        <v>Deals X*50 Light and X*50 Dark damage to a single enemy where X is equal to SP spent.</v>
      </c>
      <c r="F289" s="16" t="str">
        <f>IFERROR(__xludf.DUMMYFUNCTION("""COMPUTED_VALUE"""),"Hit/Miss")</f>
        <v>Hit/Miss</v>
      </c>
      <c r="G289" s="16">
        <f>IFERROR(__xludf.DUMMYFUNCTION("""COMPUTED_VALUE"""),1.0)</f>
        <v>1</v>
      </c>
      <c r="H289" s="16" t="str">
        <f>IFERROR(__xludf.DUMMYFUNCTION("""COMPUTED_VALUE"""),"Twilight")</f>
        <v>Twilight</v>
      </c>
    </row>
    <row r="290">
      <c r="A290" s="16" t="str">
        <f>IFERROR(__xludf.DUMMYFUNCTION("""COMPUTED_VALUE"""),"Searing Twilight")</f>
        <v>Searing Twilight</v>
      </c>
      <c r="B290" s="16">
        <f>IFERROR(__xludf.DUMMYFUNCTION("""COMPUTED_VALUE"""),5.0)</f>
        <v>5</v>
      </c>
      <c r="C290" s="16" t="str">
        <f>IFERROR(__xludf.DUMMYFUNCTION("""COMPUTED_VALUE"""),"X")</f>
        <v>X</v>
      </c>
      <c r="D290" s="16"/>
      <c r="E290" s="16" t="str">
        <f>IFERROR(__xludf.DUMMYFUNCTION("""COMPUTED_VALUE"""),"Deals X*25 Light and X*25 Dark damage per round for 3 rounds to a single target where X is equal to SP spent.")</f>
        <v>Deals X*25 Light and X*25 Dark damage per round for 3 rounds to a single target where X is equal to SP spent.</v>
      </c>
      <c r="F290" s="16" t="str">
        <f>IFERROR(__xludf.DUMMYFUNCTION("""COMPUTED_VALUE"""),"Hit/Miss")</f>
        <v>Hit/Miss</v>
      </c>
      <c r="G290" s="16">
        <f>IFERROR(__xludf.DUMMYFUNCTION("""COMPUTED_VALUE"""),1.0)</f>
        <v>1</v>
      </c>
      <c r="H290" s="16" t="str">
        <f>IFERROR(__xludf.DUMMYFUNCTION("""COMPUTED_VALUE"""),"Twilight")</f>
        <v>Twilight</v>
      </c>
    </row>
    <row r="291">
      <c r="A291" s="16" t="str">
        <f>IFERROR(__xludf.DUMMYFUNCTION("""COMPUTED_VALUE"""),"The Setting Sun")</f>
        <v>The Setting Sun</v>
      </c>
      <c r="B291" s="16">
        <f>IFERROR(__xludf.DUMMYFUNCTION("""COMPUTED_VALUE"""),5.0)</f>
        <v>5</v>
      </c>
      <c r="C291" s="16" t="str">
        <f>IFERROR(__xludf.DUMMYFUNCTION("""COMPUTED_VALUE"""),"X")</f>
        <v>X</v>
      </c>
      <c r="D291" s="16"/>
      <c r="E291" s="16" t="str">
        <f>IFERROR(__xludf.DUMMYFUNCTION("""COMPUTED_VALUE"""),"Deals X*15 Light and X*15 Dark damage to all enemies where X is equal to SP spent.")</f>
        <v>Deals X*15 Light and X*15 Dark damage to all enemies where X is equal to SP spent.</v>
      </c>
      <c r="F291" s="16" t="str">
        <f>IFERROR(__xludf.DUMMYFUNCTION("""COMPUTED_VALUE"""),"Cannot Avoid")</f>
        <v>Cannot Avoid</v>
      </c>
      <c r="G291" s="16" t="str">
        <f>IFERROR(__xludf.DUMMYFUNCTION("""COMPUTED_VALUE"""),"All")</f>
        <v>All</v>
      </c>
      <c r="H291" s="16" t="str">
        <f>IFERROR(__xludf.DUMMYFUNCTION("""COMPUTED_VALUE"""),"Twilight")</f>
        <v>Twilight</v>
      </c>
    </row>
    <row r="292">
      <c r="A292" s="16" t="str">
        <f>IFERROR(__xludf.DUMMYFUNCTION("""COMPUTED_VALUE"""),"Twilight Masquerade")</f>
        <v>Twilight Masquerade</v>
      </c>
      <c r="B292" s="16">
        <f>IFERROR(__xludf.DUMMYFUNCTION("""COMPUTED_VALUE"""),9.0)</f>
        <v>9</v>
      </c>
      <c r="C292" s="16">
        <f>IFERROR(__xludf.DUMMYFUNCTION("""COMPUTED_VALUE"""),1000.0)</f>
        <v>1000</v>
      </c>
      <c r="D292" s="16"/>
      <c r="E292" s="16" t="str">
        <f>IFERROR(__xludf.DUMMYFUNCTION("""COMPUTED_VALUE"""),"Become Immune to attacks for 3 rounds.")</f>
        <v>Become Immune to attacks for 3 rounds.</v>
      </c>
      <c r="F292" s="16" t="str">
        <f>IFERROR(__xludf.DUMMYFUNCTION("""COMPUTED_VALUE"""),"Fail/Succeed")</f>
        <v>Fail/Succeed</v>
      </c>
      <c r="G292" s="16"/>
      <c r="H292" s="16" t="str">
        <f>IFERROR(__xludf.DUMMYFUNCTION("""COMPUTED_VALUE"""),"Twilight")</f>
        <v>Twilight</v>
      </c>
    </row>
    <row r="293">
      <c r="A293" s="16" t="str">
        <f>IFERROR(__xludf.DUMMYFUNCTION("""COMPUTED_VALUE"""),"Twilight Shield")</f>
        <v>Twilight Shield</v>
      </c>
      <c r="B293" s="16">
        <f>IFERROR(__xludf.DUMMYFUNCTION("""COMPUTED_VALUE"""),5.0)</f>
        <v>5</v>
      </c>
      <c r="C293" s="16">
        <f>IFERROR(__xludf.DUMMYFUNCTION("""COMPUTED_VALUE"""),50.0)</f>
        <v>50</v>
      </c>
      <c r="D293" s="16"/>
      <c r="E293" s="16" t="str">
        <f>IFERROR(__xludf.DUMMYFUNCTION("""COMPUTED_VALUE""")," X2 def, gives immunity to dark and light for self")</f>
        <v> X2 def, gives immunity to dark and light for self</v>
      </c>
      <c r="F293" s="16" t="str">
        <f>IFERROR(__xludf.DUMMYFUNCTION("""COMPUTED_VALUE"""),"Will Succeed")</f>
        <v>Will Succeed</v>
      </c>
      <c r="G293" s="16"/>
      <c r="H293" s="16" t="str">
        <f>IFERROR(__xludf.DUMMYFUNCTION("""COMPUTED_VALUE"""),"Twilight")</f>
        <v>Twilight</v>
      </c>
    </row>
    <row r="294">
      <c r="A294" s="16" t="str">
        <f>IFERROR(__xludf.DUMMYFUNCTION("""COMPUTED_VALUE"""),"Twilight Transformation")</f>
        <v>Twilight Transformation</v>
      </c>
      <c r="B294" s="16">
        <f>IFERROR(__xludf.DUMMYFUNCTION("""COMPUTED_VALUE"""),8.0)</f>
        <v>8</v>
      </c>
      <c r="C294" s="16">
        <f>IFERROR(__xludf.DUMMYFUNCTION("""COMPUTED_VALUE"""),200.0)</f>
        <v>200</v>
      </c>
      <c r="D294" s="16"/>
      <c r="E294" s="16" t="str">
        <f>IFERROR(__xludf.DUMMYFUNCTION("""COMPUTED_VALUE"""),"Grants X4 light and dark damage to twilight spells and weapons for the caster until end of battle.")</f>
        <v>Grants X4 light and dark damage to twilight spells and weapons for the caster until end of battle.</v>
      </c>
      <c r="F294" s="16" t="str">
        <f>IFERROR(__xludf.DUMMYFUNCTION("""COMPUTED_VALUE"""),"Will Succeed")</f>
        <v>Will Succeed</v>
      </c>
      <c r="G294" s="16"/>
      <c r="H294" s="16" t="str">
        <f>IFERROR(__xludf.DUMMYFUNCTION("""COMPUTED_VALUE"""),"Twilight")</f>
        <v>Twilight</v>
      </c>
    </row>
    <row r="295">
      <c r="A295" s="16" t="str">
        <f>IFERROR(__xludf.DUMMYFUNCTION("""COMPUTED_VALUE"""),"1000 Poisons Body")</f>
        <v>1000 Poisons Body</v>
      </c>
      <c r="B295" s="16">
        <f>IFERROR(__xludf.DUMMYFUNCTION("""COMPUTED_VALUE"""),8.0)</f>
        <v>8</v>
      </c>
      <c r="C295" s="16">
        <f>IFERROR(__xludf.DUMMYFUNCTION("""COMPUTED_VALUE"""),500.0)</f>
        <v>500</v>
      </c>
      <c r="D295" s="16"/>
      <c r="E295"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5" s="16" t="str">
        <f>IFERROR(__xludf.DUMMYFUNCTION("""COMPUTED_VALUE"""),"Will Succeed")</f>
        <v>Will Succeed</v>
      </c>
      <c r="G295" s="16" t="str">
        <f>IFERROR(__xludf.DUMMYFUNCTION("""COMPUTED_VALUE"""),"Self")</f>
        <v>Self</v>
      </c>
      <c r="H295" s="16" t="str">
        <f>IFERROR(__xludf.DUMMYFUNCTION("""COMPUTED_VALUE"""),"Voodoo")</f>
        <v>Voodoo</v>
      </c>
    </row>
    <row r="296">
      <c r="A296" s="16" t="str">
        <f>IFERROR(__xludf.DUMMYFUNCTION("""COMPUTED_VALUE"""),"Banish")</f>
        <v>Banish</v>
      </c>
      <c r="B296" s="16">
        <f>IFERROR(__xludf.DUMMYFUNCTION("""COMPUTED_VALUE"""),9.0)</f>
        <v>9</v>
      </c>
      <c r="C296" s="16">
        <f>IFERROR(__xludf.DUMMYFUNCTION("""COMPUTED_VALUE"""),2000.0)</f>
        <v>2000</v>
      </c>
      <c r="D296" s="16"/>
      <c r="E296" s="16" t="str">
        <f>IFERROR(__xludf.DUMMYFUNCTION("""COMPUTED_VALUE"""),"Banish 1 target.")</f>
        <v>Banish 1 target.</v>
      </c>
      <c r="F296" s="16" t="str">
        <f>IFERROR(__xludf.DUMMYFUNCTION("""COMPUTED_VALUE"""),"Fail/succeed")</f>
        <v>Fail/succeed</v>
      </c>
      <c r="G296" s="16"/>
      <c r="H296" s="16" t="str">
        <f>IFERROR(__xludf.DUMMYFUNCTION("""COMPUTED_VALUE"""),"Voodoo")</f>
        <v>Voodoo</v>
      </c>
    </row>
    <row r="297">
      <c r="A297" s="16" t="str">
        <f>IFERROR(__xludf.DUMMYFUNCTION("""COMPUTED_VALUE"""),"Blast of Despair")</f>
        <v>Blast of Despair</v>
      </c>
      <c r="B297" s="16">
        <f>IFERROR(__xludf.DUMMYFUNCTION("""COMPUTED_VALUE"""),6.0)</f>
        <v>6</v>
      </c>
      <c r="C297" s="16" t="str">
        <f>IFERROR(__xludf.DUMMYFUNCTION("""COMPUTED_VALUE"""),"X")</f>
        <v>X</v>
      </c>
      <c r="D297" s="16"/>
      <c r="E297"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7" s="16" t="str">
        <f>IFERROR(__xludf.DUMMYFUNCTION("""COMPUTED_VALUE"""),"Hit/Miss")</f>
        <v>Hit/Miss</v>
      </c>
      <c r="G297" s="16">
        <f>IFERROR(__xludf.DUMMYFUNCTION("""COMPUTED_VALUE"""),1.0)</f>
        <v>1</v>
      </c>
      <c r="H297" s="16" t="str">
        <f>IFERROR(__xludf.DUMMYFUNCTION("""COMPUTED_VALUE"""),"Voodoo")</f>
        <v>Voodoo</v>
      </c>
    </row>
    <row r="298">
      <c r="A298" s="16" t="str">
        <f>IFERROR(__xludf.DUMMYFUNCTION("""COMPUTED_VALUE"""),"Contagion")</f>
        <v>Contagion</v>
      </c>
      <c r="B298" s="16">
        <f>IFERROR(__xludf.DUMMYFUNCTION("""COMPUTED_VALUE"""),5.0)</f>
        <v>5</v>
      </c>
      <c r="C298" s="16">
        <f>IFERROR(__xludf.DUMMYFUNCTION("""COMPUTED_VALUE"""),100.0)</f>
        <v>100</v>
      </c>
      <c r="D298" s="16"/>
      <c r="E298" s="16" t="str">
        <f>IFERROR(__xludf.DUMMYFUNCTION("""COMPUTED_VALUE"""),"Unleashes a Plague onto the Battlefield Infecting all enemies causing them to take Poison 5000 for 3 rounds")</f>
        <v>Unleashes a Plague onto the Battlefield Infecting all enemies causing them to take Poison 5000 for 3 rounds</v>
      </c>
      <c r="F298" s="16" t="str">
        <f>IFERROR(__xludf.DUMMYFUNCTION("""COMPUTED_VALUE"""),"Fail/Succeed")</f>
        <v>Fail/Succeed</v>
      </c>
      <c r="G298" s="16" t="str">
        <f>IFERROR(__xludf.DUMMYFUNCTION("""COMPUTED_VALUE"""),"All")</f>
        <v>All</v>
      </c>
      <c r="H298" s="16" t="str">
        <f>IFERROR(__xludf.DUMMYFUNCTION("""COMPUTED_VALUE"""),"Voodoo")</f>
        <v>Voodoo</v>
      </c>
    </row>
    <row r="299">
      <c r="A299" s="16" t="str">
        <f>IFERROR(__xludf.DUMMYFUNCTION("""COMPUTED_VALUE"""),"End The Voodoo Contract")</f>
        <v>End The Voodoo Contract</v>
      </c>
      <c r="B299" s="16">
        <f>IFERROR(__xludf.DUMMYFUNCTION("""COMPUTED_VALUE"""),9.0)</f>
        <v>9</v>
      </c>
      <c r="C299" s="16">
        <f>IFERROR(__xludf.DUMMYFUNCTION("""COMPUTED_VALUE"""),500.0)</f>
        <v>500</v>
      </c>
      <c r="D299" s="16"/>
      <c r="E299" s="16" t="str">
        <f>IFERROR(__xludf.DUMMYFUNCTION("""COMPUTED_VALUE"""),"Caster dies and the target dies too.")</f>
        <v>Caster dies and the target dies too.</v>
      </c>
      <c r="F299" s="16" t="str">
        <f>IFERROR(__xludf.DUMMYFUNCTION("""COMPUTED_VALUE"""),"Fail/Succeed")</f>
        <v>Fail/Succeed</v>
      </c>
      <c r="G299" s="16"/>
      <c r="H299" s="16" t="str">
        <f>IFERROR(__xludf.DUMMYFUNCTION("""COMPUTED_VALUE"""),"Voodoo")</f>
        <v>Voodoo</v>
      </c>
    </row>
    <row r="300">
      <c r="A300" s="16" t="str">
        <f>IFERROR(__xludf.DUMMYFUNCTION("""COMPUTED_VALUE"""),"Enrapture")</f>
        <v>Enrapture</v>
      </c>
      <c r="B300" s="16">
        <f>IFERROR(__xludf.DUMMYFUNCTION("""COMPUTED_VALUE"""),7.0)</f>
        <v>7</v>
      </c>
      <c r="C300" s="16">
        <f>IFERROR(__xludf.DUMMYFUNCTION("""COMPUTED_VALUE"""),300.0)</f>
        <v>300</v>
      </c>
      <c r="D300" s="16"/>
      <c r="E300" s="16" t="str">
        <f>IFERROR(__xludf.DUMMYFUNCTION("""COMPUTED_VALUE"""),"Turn 1 enemy undead and recruit them to the caster's side. Does not work against Undead, Spirits, and Constructs.")</f>
        <v>Turn 1 enemy undead and recruit them to the caster's side. Does not work against Undead, Spirits, and Constructs.</v>
      </c>
      <c r="F300" s="16" t="str">
        <f>IFERROR(__xludf.DUMMYFUNCTION("""COMPUTED_VALUE"""),"Fail/Succeed")</f>
        <v>Fail/Succeed</v>
      </c>
      <c r="G300" s="16"/>
      <c r="H300" s="16" t="str">
        <f>IFERROR(__xludf.DUMMYFUNCTION("""COMPUTED_VALUE"""),"Voodoo")</f>
        <v>Voodoo</v>
      </c>
    </row>
    <row r="301">
      <c r="A301" s="16" t="str">
        <f>IFERROR(__xludf.DUMMYFUNCTION("""COMPUTED_VALUE"""),"Good Fortune")</f>
        <v>Good Fortune</v>
      </c>
      <c r="B301" s="16">
        <f>IFERROR(__xludf.DUMMYFUNCTION("""COMPUTED_VALUE"""),5.0)</f>
        <v>5</v>
      </c>
      <c r="C301" s="16">
        <f>IFERROR(__xludf.DUMMYFUNCTION("""COMPUTED_VALUE"""),50.0)</f>
        <v>50</v>
      </c>
      <c r="D301" s="16"/>
      <c r="E301" s="16" t="str">
        <f>IFERROR(__xludf.DUMMYFUNCTION("""COMPUTED_VALUE"""),"25% chance to gain an extra loot roll. You must activate this effect before the end of battle.")</f>
        <v>25% chance to gain an extra loot roll. You must activate this effect before the end of battle.</v>
      </c>
      <c r="F301" s="16" t="str">
        <f>IFERROR(__xludf.DUMMYFUNCTION("""COMPUTED_VALUE"""),"Will Succeed")</f>
        <v>Will Succeed</v>
      </c>
      <c r="G301" s="16"/>
      <c r="H301" s="16" t="str">
        <f>IFERROR(__xludf.DUMMYFUNCTION("""COMPUTED_VALUE"""),"Voodoo")</f>
        <v>Voodoo</v>
      </c>
    </row>
    <row r="302">
      <c r="A302" s="16" t="str">
        <f>IFERROR(__xludf.DUMMYFUNCTION("""COMPUTED_VALUE"""),"Hex")</f>
        <v>Hex</v>
      </c>
      <c r="B302" s="16">
        <f>IFERROR(__xludf.DUMMYFUNCTION("""COMPUTED_VALUE"""),5.0)</f>
        <v>5</v>
      </c>
      <c r="C302" s="16" t="str">
        <f>IFERROR(__xludf.DUMMYFUNCTION("""COMPUTED_VALUE"""),"X")</f>
        <v>X</v>
      </c>
      <c r="D302" s="16"/>
      <c r="E302" s="16" t="str">
        <f>IFERROR(__xludf.DUMMYFUNCTION("""COMPUTED_VALUE"""),"Deals X*50 Voodoo damage per round for 3 rounds to a single target where X is equal to SP spent.")</f>
        <v>Deals X*50 Voodoo damage per round for 3 rounds to a single target where X is equal to SP spent.</v>
      </c>
      <c r="F302" s="16" t="str">
        <f>IFERROR(__xludf.DUMMYFUNCTION("""COMPUTED_VALUE"""),"Hit/Miss")</f>
        <v>Hit/Miss</v>
      </c>
      <c r="G302" s="16">
        <f>IFERROR(__xludf.DUMMYFUNCTION("""COMPUTED_VALUE"""),1.0)</f>
        <v>1</v>
      </c>
      <c r="H302" s="16" t="str">
        <f>IFERROR(__xludf.DUMMYFUNCTION("""COMPUTED_VALUE"""),"Voodoo")</f>
        <v>Voodoo</v>
      </c>
    </row>
    <row r="303">
      <c r="A303" s="16" t="str">
        <f>IFERROR(__xludf.DUMMYFUNCTION("""COMPUTED_VALUE"""),"Hex With Bad Luck")</f>
        <v>Hex With Bad Luck</v>
      </c>
      <c r="B303" s="16">
        <f>IFERROR(__xludf.DUMMYFUNCTION("""COMPUTED_VALUE"""),1.0)</f>
        <v>1</v>
      </c>
      <c r="C303" s="16">
        <f>IFERROR(__xludf.DUMMYFUNCTION("""COMPUTED_VALUE"""),10.0)</f>
        <v>10</v>
      </c>
      <c r="D303" s="16"/>
      <c r="E303" s="16" t="str">
        <f>IFERROR(__xludf.DUMMYFUNCTION("""COMPUTED_VALUE"""),"Target Halfs their d20 rolls for 3 rounds")</f>
        <v>Target Halfs their d20 rolls for 3 rounds</v>
      </c>
      <c r="F303" s="16" t="str">
        <f>IFERROR(__xludf.DUMMYFUNCTION("""COMPUTED_VALUE"""),"Fail/Succeed")</f>
        <v>Fail/Succeed</v>
      </c>
      <c r="G303" s="16"/>
      <c r="H303" s="16" t="str">
        <f>IFERROR(__xludf.DUMMYFUNCTION("""COMPUTED_VALUE"""),"Voodoo")</f>
        <v>Voodoo</v>
      </c>
    </row>
    <row r="304">
      <c r="A304" s="16" t="str">
        <f>IFERROR(__xludf.DUMMYFUNCTION("""COMPUTED_VALUE"""),"Last Chance")</f>
        <v>Last Chance</v>
      </c>
      <c r="B304" s="16">
        <f>IFERROR(__xludf.DUMMYFUNCTION("""COMPUTED_VALUE"""),5.0)</f>
        <v>5</v>
      </c>
      <c r="C304" s="16">
        <f>IFERROR(__xludf.DUMMYFUNCTION("""COMPUTED_VALUE"""),200.0)</f>
        <v>200</v>
      </c>
      <c r="D304" s="16"/>
      <c r="E304" s="16" t="str">
        <f>IFERROR(__xludf.DUMMYFUNCTION("""COMPUTED_VALUE"""),"1d2 enemies cannot use spells for 3 rounds.")</f>
        <v>1d2 enemies cannot use spells for 3 rounds.</v>
      </c>
      <c r="F304" s="16" t="str">
        <f>IFERROR(__xludf.DUMMYFUNCTION("""COMPUTED_VALUE"""),"Fail or Succeed")</f>
        <v>Fail or Succeed</v>
      </c>
      <c r="G304" s="16" t="str">
        <f>IFERROR(__xludf.DUMMYFUNCTION("""COMPUTED_VALUE"""),"1 or 2")</f>
        <v>1 or 2</v>
      </c>
      <c r="H304" s="16" t="str">
        <f>IFERROR(__xludf.DUMMYFUNCTION("""COMPUTED_VALUE"""),"Voodoo")</f>
        <v>Voodoo</v>
      </c>
    </row>
    <row r="305">
      <c r="A305" s="16" t="str">
        <f>IFERROR(__xludf.DUMMYFUNCTION("""COMPUTED_VALUE"""),"Last Gamble")</f>
        <v>Last Gamble</v>
      </c>
      <c r="B305" s="16">
        <f>IFERROR(__xludf.DUMMYFUNCTION("""COMPUTED_VALUE"""),9.0)</f>
        <v>9</v>
      </c>
      <c r="C305" s="16">
        <f>IFERROR(__xludf.DUMMYFUNCTION("""COMPUTED_VALUE"""),1000.0)</f>
        <v>1000</v>
      </c>
      <c r="D305" s="16"/>
      <c r="E305" s="16" t="str">
        <f>IFERROR(__xludf.DUMMYFUNCTION("""COMPUTED_VALUE"""),"All enemies Cannot use any spells for the rest of the battle.")</f>
        <v>All enemies Cannot use any spells for the rest of the battle.</v>
      </c>
      <c r="F305" s="16" t="str">
        <f>IFERROR(__xludf.DUMMYFUNCTION("""COMPUTED_VALUE"""),"Fail/Succeed")</f>
        <v>Fail/Succeed</v>
      </c>
      <c r="G305" s="16"/>
      <c r="H305" s="16" t="str">
        <f>IFERROR(__xludf.DUMMYFUNCTION("""COMPUTED_VALUE"""),"Voodoo")</f>
        <v>Voodoo</v>
      </c>
    </row>
    <row r="306">
      <c r="A306" s="16" t="str">
        <f>IFERROR(__xludf.DUMMYFUNCTION("""COMPUTED_VALUE"""),"Mass Hex")</f>
        <v>Mass Hex</v>
      </c>
      <c r="B306" s="16">
        <f>IFERROR(__xludf.DUMMYFUNCTION("""COMPUTED_VALUE"""),6.0)</f>
        <v>6</v>
      </c>
      <c r="C306" s="16" t="str">
        <f>IFERROR(__xludf.DUMMYFUNCTION("""COMPUTED_VALUE"""),"X")</f>
        <v>X</v>
      </c>
      <c r="D306" s="16"/>
      <c r="E306" s="16" t="str">
        <f>IFERROR(__xludf.DUMMYFUNCTION("""COMPUTED_VALUE"""),"Deals X*10 Voodoo damage per round to all enemies for 3 rounds where X is equal to SP spent.")</f>
        <v>Deals X*10 Voodoo damage per round to all enemies for 3 rounds where X is equal to SP spent.</v>
      </c>
      <c r="F306" s="16" t="str">
        <f>IFERROR(__xludf.DUMMYFUNCTION("""COMPUTED_VALUE"""),"Cannot Avoid")</f>
        <v>Cannot Avoid</v>
      </c>
      <c r="G306" s="16" t="str">
        <f>IFERROR(__xludf.DUMMYFUNCTION("""COMPUTED_VALUE"""),"All")</f>
        <v>All</v>
      </c>
      <c r="H306" s="16" t="str">
        <f>IFERROR(__xludf.DUMMYFUNCTION("""COMPUTED_VALUE"""),"Voodoo")</f>
        <v>Voodoo</v>
      </c>
    </row>
    <row r="307">
      <c r="A307" s="16" t="str">
        <f>IFERROR(__xludf.DUMMYFUNCTION("""COMPUTED_VALUE"""),"Multi Banishment")</f>
        <v>Multi Banishment</v>
      </c>
      <c r="B307" s="16">
        <f>IFERROR(__xludf.DUMMYFUNCTION("""COMPUTED_VALUE"""),9.0)</f>
        <v>9</v>
      </c>
      <c r="C307" s="16" t="str">
        <f>IFERROR(__xludf.DUMMYFUNCTION("""COMPUTED_VALUE"""),"X*2000")</f>
        <v>X*2000</v>
      </c>
      <c r="D307" s="16"/>
      <c r="E307" s="16" t="str">
        <f>IFERROR(__xludf.DUMMYFUNCTION("""COMPUTED_VALUE"""),"Banish up to 5 targets.")</f>
        <v>Banish up to 5 targets.</v>
      </c>
      <c r="F307" s="16" t="str">
        <f>IFERROR(__xludf.DUMMYFUNCTION("""COMPUTED_VALUE"""),"Fail/succeed")</f>
        <v>Fail/succeed</v>
      </c>
      <c r="G307" s="16"/>
      <c r="H307" s="16" t="str">
        <f>IFERROR(__xludf.DUMMYFUNCTION("""COMPUTED_VALUE"""),"Voodoo")</f>
        <v>Voodoo</v>
      </c>
    </row>
    <row r="308">
      <c r="A308" s="16" t="str">
        <f>IFERROR(__xludf.DUMMYFUNCTION("""COMPUTED_VALUE"""),"Mutagen")</f>
        <v>Mutagen</v>
      </c>
      <c r="B308" s="16">
        <f>IFERROR(__xludf.DUMMYFUNCTION("""COMPUTED_VALUE"""),6.0)</f>
        <v>6</v>
      </c>
      <c r="C308" s="16">
        <f>IFERROR(__xludf.DUMMYFUNCTION("""COMPUTED_VALUE"""),100.0)</f>
        <v>100</v>
      </c>
      <c r="D308" s="16"/>
      <c r="E308"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8" s="16" t="str">
        <f>IFERROR(__xludf.DUMMYFUNCTION("""COMPUTED_VALUE"""),"Will Succeed")</f>
        <v>Will Succeed</v>
      </c>
      <c r="G308" s="16" t="str">
        <f>IFERROR(__xludf.DUMMYFUNCTION("""COMPUTED_VALUE"""),"self")</f>
        <v>self</v>
      </c>
      <c r="H308" s="16" t="str">
        <f>IFERROR(__xludf.DUMMYFUNCTION("""COMPUTED_VALUE"""),"Voodoo")</f>
        <v>Voodoo</v>
      </c>
    </row>
    <row r="309">
      <c r="A309" s="16" t="str">
        <f>IFERROR(__xludf.DUMMYFUNCTION("""COMPUTED_VALUE"""),"Poison Flask")</f>
        <v>Poison Flask</v>
      </c>
      <c r="B309" s="16">
        <f>IFERROR(__xludf.DUMMYFUNCTION("""COMPUTED_VALUE"""),3.0)</f>
        <v>3</v>
      </c>
      <c r="C309" s="16">
        <f>IFERROR(__xludf.DUMMYFUNCTION("""COMPUTED_VALUE"""),50.0)</f>
        <v>50</v>
      </c>
      <c r="D309" s="16"/>
      <c r="E309" s="16" t="str">
        <f>IFERROR(__xludf.DUMMYFUNCTION("""COMPUTED_VALUE"""),"Throw a flask of viscous poison, Shattering it on your enemies and inflicting Poison 3000 for 3 rounds")</f>
        <v>Throw a flask of viscous poison, Shattering it on your enemies and inflicting Poison 3000 for 3 rounds</v>
      </c>
      <c r="F309" s="16" t="str">
        <f>IFERROR(__xludf.DUMMYFUNCTION("""COMPUTED_VALUE"""),"Hit/Miss")</f>
        <v>Hit/Miss</v>
      </c>
      <c r="G309" s="16">
        <f>IFERROR(__xludf.DUMMYFUNCTION("""COMPUTED_VALUE"""),1.0)</f>
        <v>1</v>
      </c>
      <c r="H309" s="16" t="str">
        <f>IFERROR(__xludf.DUMMYFUNCTION("""COMPUTED_VALUE"""),"Voodoo")</f>
        <v>Voodoo</v>
      </c>
    </row>
    <row r="310">
      <c r="A310" s="16" t="str">
        <f>IFERROR(__xludf.DUMMYFUNCTION("""COMPUTED_VALUE"""),"Rejuvenate")</f>
        <v>Rejuvenate</v>
      </c>
      <c r="B310" s="16">
        <f>IFERROR(__xludf.DUMMYFUNCTION("""COMPUTED_VALUE"""),2.0)</f>
        <v>2</v>
      </c>
      <c r="C310" s="16">
        <f>IFERROR(__xludf.DUMMYFUNCTION("""COMPUTED_VALUE"""),20.0)</f>
        <v>20</v>
      </c>
      <c r="D310" s="16"/>
      <c r="E310" s="16" t="str">
        <f>IFERROR(__xludf.DUMMYFUNCTION("""COMPUTED_VALUE"""),"Heal 2000 HP, 50% chance of contracting an Undead enemy. Max 1 Enemy.")</f>
        <v>Heal 2000 HP, 50% chance of contracting an Undead enemy. Max 1 Enemy.</v>
      </c>
      <c r="F310" s="16" t="str">
        <f>IFERROR(__xludf.DUMMYFUNCTION("""COMPUTED_VALUE"""),"Fail/Succeed")</f>
        <v>Fail/Succeed</v>
      </c>
      <c r="G310" s="16"/>
      <c r="H310" s="16" t="str">
        <f>IFERROR(__xludf.DUMMYFUNCTION("""COMPUTED_VALUE"""),"Voodoo")</f>
        <v>Voodoo</v>
      </c>
    </row>
    <row r="311">
      <c r="A311" s="16" t="str">
        <f>IFERROR(__xludf.DUMMYFUNCTION("""COMPUTED_VALUE"""),"Second Chance")</f>
        <v>Second Chance</v>
      </c>
      <c r="B311" s="16">
        <f>IFERROR(__xludf.DUMMYFUNCTION("""COMPUTED_VALUE"""),9.0)</f>
        <v>9</v>
      </c>
      <c r="C311" s="16">
        <f>IFERROR(__xludf.DUMMYFUNCTION("""COMPUTED_VALUE"""),1000.0)</f>
        <v>1000</v>
      </c>
      <c r="D311" s="16"/>
      <c r="E31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11" s="16" t="str">
        <f>IFERROR(__xludf.DUMMYFUNCTION("""COMPUTED_VALUE"""),"Will Succeed")</f>
        <v>Will Succeed</v>
      </c>
      <c r="G311" s="16"/>
      <c r="H311" s="16" t="str">
        <f>IFERROR(__xludf.DUMMYFUNCTION("""COMPUTED_VALUE"""),"Voodoo")</f>
        <v>Voodoo</v>
      </c>
    </row>
    <row r="312">
      <c r="A312" s="16" t="str">
        <f>IFERROR(__xludf.DUMMYFUNCTION("""COMPUTED_VALUE"""),"Stand in")</f>
        <v>Stand in</v>
      </c>
      <c r="B312" s="16">
        <f>IFERROR(__xludf.DUMMYFUNCTION("""COMPUTED_VALUE"""),9.0)</f>
        <v>9</v>
      </c>
      <c r="C312" s="16">
        <f>IFERROR(__xludf.DUMMYFUNCTION("""COMPUTED_VALUE"""),1000.0)</f>
        <v>1000</v>
      </c>
      <c r="D312" s="16"/>
      <c r="E31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2" s="16" t="str">
        <f>IFERROR(__xludf.DUMMYFUNCTION("""COMPUTED_VALUE"""),"Fail/Succeed")</f>
        <v>Fail/Succeed</v>
      </c>
      <c r="G312" s="16"/>
      <c r="H312" s="16" t="str">
        <f>IFERROR(__xludf.DUMMYFUNCTION("""COMPUTED_VALUE"""),"Voodoo")</f>
        <v>Voodoo</v>
      </c>
    </row>
    <row r="313">
      <c r="A313" s="16" t="str">
        <f>IFERROR(__xludf.DUMMYFUNCTION("""COMPUTED_VALUE"""),"Tower Of Karma")</f>
        <v>Tower Of Karma</v>
      </c>
      <c r="B313" s="16">
        <f>IFERROR(__xludf.DUMMYFUNCTION("""COMPUTED_VALUE"""),8.0)</f>
        <v>8</v>
      </c>
      <c r="C313" s="16">
        <f>IFERROR(__xludf.DUMMYFUNCTION("""COMPUTED_VALUE"""),400.0)</f>
        <v>400</v>
      </c>
      <c r="D313" s="16"/>
      <c r="E31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3" s="16" t="str">
        <f>IFERROR(__xludf.DUMMYFUNCTION("""COMPUTED_VALUE"""),"Hit or Miss")</f>
        <v>Hit or Miss</v>
      </c>
      <c r="G313" s="16">
        <f>IFERROR(__xludf.DUMMYFUNCTION("""COMPUTED_VALUE"""),1.0)</f>
        <v>1</v>
      </c>
      <c r="H313" s="16" t="str">
        <f>IFERROR(__xludf.DUMMYFUNCTION("""COMPUTED_VALUE"""),"Voodoo")</f>
        <v>Voodoo</v>
      </c>
    </row>
    <row r="314">
      <c r="A314" s="16" t="str">
        <f>IFERROR(__xludf.DUMMYFUNCTION("""COMPUTED_VALUE"""),"Transfer")</f>
        <v>Transfer</v>
      </c>
      <c r="B314" s="16">
        <f>IFERROR(__xludf.DUMMYFUNCTION("""COMPUTED_VALUE"""),9.0)</f>
        <v>9</v>
      </c>
      <c r="C314" s="16">
        <f>IFERROR(__xludf.DUMMYFUNCTION("""COMPUTED_VALUE"""),500.0)</f>
        <v>500</v>
      </c>
      <c r="D314" s="16"/>
      <c r="E314" s="16" t="str">
        <f>IFERROR(__xludf.DUMMYFUNCTION("""COMPUTED_VALUE"""),"Allows the caster to transfer a curse from one target on to another target. Cannot be used on self.")</f>
        <v>Allows the caster to transfer a curse from one target on to another target. Cannot be used on self.</v>
      </c>
      <c r="F314" s="16" t="str">
        <f>IFERROR(__xludf.DUMMYFUNCTION("""COMPUTED_VALUE"""),"Fail/Succeed")</f>
        <v>Fail/Succeed</v>
      </c>
      <c r="G314" s="16"/>
      <c r="H314" s="16" t="str">
        <f>IFERROR(__xludf.DUMMYFUNCTION("""COMPUTED_VALUE"""),"Voodoo")</f>
        <v>Voodoo</v>
      </c>
    </row>
    <row r="315">
      <c r="A315" s="16" t="str">
        <f>IFERROR(__xludf.DUMMYFUNCTION("""COMPUTED_VALUE"""),"Transform Enemy Curse")</f>
        <v>Transform Enemy Curse</v>
      </c>
      <c r="B315" s="16">
        <f>IFERROR(__xludf.DUMMYFUNCTION("""COMPUTED_VALUE"""),3.0)</f>
        <v>3</v>
      </c>
      <c r="C315" s="16">
        <f>IFERROR(__xludf.DUMMYFUNCTION("""COMPUTED_VALUE"""),30.0)</f>
        <v>30</v>
      </c>
      <c r="D315" s="16"/>
      <c r="E31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5" s="16" t="str">
        <f>IFERROR(__xludf.DUMMYFUNCTION("""COMPUTED_VALUE"""),"Fail or Succeed")</f>
        <v>Fail or Succeed</v>
      </c>
      <c r="G315" s="16"/>
      <c r="H315" s="16" t="str">
        <f>IFERROR(__xludf.DUMMYFUNCTION("""COMPUTED_VALUE"""),"Voodoo")</f>
        <v>Voodoo</v>
      </c>
    </row>
    <row r="316">
      <c r="A316" s="16" t="str">
        <f>IFERROR(__xludf.DUMMYFUNCTION("""COMPUTED_VALUE"""),"Voodoo Meteor Shower")</f>
        <v>Voodoo Meteor Shower</v>
      </c>
      <c r="B316" s="16">
        <f>IFERROR(__xludf.DUMMYFUNCTION("""COMPUTED_VALUE"""),5.0)</f>
        <v>5</v>
      </c>
      <c r="C316" s="16" t="str">
        <f>IFERROR(__xludf.DUMMYFUNCTION("""COMPUTED_VALUE"""),"X")</f>
        <v>X</v>
      </c>
      <c r="D316" s="16"/>
      <c r="E316" s="16" t="str">
        <f>IFERROR(__xludf.DUMMYFUNCTION("""COMPUTED_VALUE"""),"Deals X*25 Voodoo damage to all enemies where X is equal to SP spent.")</f>
        <v>Deals X*25 Voodoo damage to all enemies where X is equal to SP spent.</v>
      </c>
      <c r="F316" s="16" t="str">
        <f>IFERROR(__xludf.DUMMYFUNCTION("""COMPUTED_VALUE"""),"Cannot Avoid")</f>
        <v>Cannot Avoid</v>
      </c>
      <c r="G316" s="16" t="str">
        <f>IFERROR(__xludf.DUMMYFUNCTION("""COMPUTED_VALUE"""),"All")</f>
        <v>All</v>
      </c>
      <c r="H316" s="16" t="str">
        <f>IFERROR(__xludf.DUMMYFUNCTION("""COMPUTED_VALUE"""),"Voodoo")</f>
        <v>Voodoo</v>
      </c>
    </row>
    <row r="317">
      <c r="A317" s="16" t="str">
        <f>IFERROR(__xludf.DUMMYFUNCTION("""COMPUTED_VALUE"""),"Voodoo Needle")</f>
        <v>Voodoo Needle</v>
      </c>
      <c r="B317" s="16">
        <f>IFERROR(__xludf.DUMMYFUNCTION("""COMPUTED_VALUE"""),1.0)</f>
        <v>1</v>
      </c>
      <c r="C317" s="16" t="str">
        <f>IFERROR(__xludf.DUMMYFUNCTION("""COMPUTED_VALUE"""),"X")</f>
        <v>X</v>
      </c>
      <c r="D317" s="16"/>
      <c r="E317" s="16" t="str">
        <f>IFERROR(__xludf.DUMMYFUNCTION("""COMPUTED_VALUE"""),"Deals X*100 Voodoo damage to a single enemy where X is equal to SP spent.")</f>
        <v>Deals X*100 Voodoo damage to a single enemy where X is equal to SP spent.</v>
      </c>
      <c r="F317" s="16" t="str">
        <f>IFERROR(__xludf.DUMMYFUNCTION("""COMPUTED_VALUE"""),"Hit/Miss")</f>
        <v>Hit/Miss</v>
      </c>
      <c r="G317" s="16">
        <f>IFERROR(__xludf.DUMMYFUNCTION("""COMPUTED_VALUE"""),1.0)</f>
        <v>1</v>
      </c>
      <c r="H317" s="16" t="str">
        <f>IFERROR(__xludf.DUMMYFUNCTION("""COMPUTED_VALUE"""),"Voodoo")</f>
        <v>Voodoo</v>
      </c>
    </row>
    <row r="318">
      <c r="A318" s="16" t="str">
        <f>IFERROR(__xludf.DUMMYFUNCTION("""COMPUTED_VALUE"""),"Voodoo Ritual of Raise The Dead")</f>
        <v>Voodoo Ritual of Raise The Dead</v>
      </c>
      <c r="B318" s="16">
        <f>IFERROR(__xludf.DUMMYFUNCTION("""COMPUTED_VALUE"""),6.0)</f>
        <v>6</v>
      </c>
      <c r="C318" s="16">
        <f>IFERROR(__xludf.DUMMYFUNCTION("""COMPUTED_VALUE"""),60.0)</f>
        <v>60</v>
      </c>
      <c r="D318" s="16"/>
      <c r="E318" s="16" t="str">
        <f>IFERROR(__xludf.DUMMYFUNCTION("""COMPUTED_VALUE"""),"Raise a dead enemy to fight by your side.")</f>
        <v>Raise a dead enemy to fight by your side.</v>
      </c>
      <c r="F318" s="16" t="str">
        <f>IFERROR(__xludf.DUMMYFUNCTION("""COMPUTED_VALUE"""),"Fail/succeed")</f>
        <v>Fail/succeed</v>
      </c>
      <c r="G318" s="16"/>
      <c r="H318" s="16" t="str">
        <f>IFERROR(__xludf.DUMMYFUNCTION("""COMPUTED_VALUE"""),"Voodoo")</f>
        <v>Voodoo</v>
      </c>
    </row>
    <row r="319">
      <c r="A319" s="16" t="str">
        <f>IFERROR(__xludf.DUMMYFUNCTION("""COMPUTED_VALUE"""),"Warcrimes")</f>
        <v>Warcrimes</v>
      </c>
      <c r="B319" s="16">
        <f>IFERROR(__xludf.DUMMYFUNCTION("""COMPUTED_VALUE"""),9.0)</f>
        <v>9</v>
      </c>
      <c r="C319" s="16">
        <f>IFERROR(__xludf.DUMMYFUNCTION("""COMPUTED_VALUE"""),200.0)</f>
        <v>200</v>
      </c>
      <c r="D319" s="16"/>
      <c r="E319"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9" s="16" t="str">
        <f>IFERROR(__xludf.DUMMYFUNCTION("""COMPUTED_VALUE"""),"Will Succeed")</f>
        <v>Will Succeed</v>
      </c>
      <c r="G319" s="16" t="str">
        <f>IFERROR(__xludf.DUMMYFUNCTION("""COMPUTED_VALUE"""),"All")</f>
        <v>All</v>
      </c>
      <c r="H319" s="16" t="str">
        <f>IFERROR(__xludf.DUMMYFUNCTION("""COMPUTED_VALUE"""),"Voodoo")</f>
        <v>Voodoo</v>
      </c>
    </row>
    <row r="320">
      <c r="A320" s="16" t="str">
        <f>IFERROR(__xludf.DUMMYFUNCTION("""COMPUTED_VALUE"""),"Weight Shift")</f>
        <v>Weight Shift</v>
      </c>
      <c r="B320" s="16">
        <f>IFERROR(__xludf.DUMMYFUNCTION("""COMPUTED_VALUE"""),4.0)</f>
        <v>4</v>
      </c>
      <c r="C320" s="16">
        <f>IFERROR(__xludf.DUMMYFUNCTION("""COMPUTED_VALUE"""),40.0)</f>
        <v>40</v>
      </c>
      <c r="D320" s="16"/>
      <c r="E320" s="16" t="str">
        <f>IFERROR(__xludf.DUMMYFUNCTION("""COMPUTED_VALUE"""),"Shift the weight of your enemy for 3 rounds, lowers their evasion by 5.")</f>
        <v>Shift the weight of your enemy for 3 rounds, lowers their evasion by 5.</v>
      </c>
      <c r="F320" s="16" t="str">
        <f>IFERROR(__xludf.DUMMYFUNCTION("""COMPUTED_VALUE"""),"Fail/succeed")</f>
        <v>Fail/succeed</v>
      </c>
      <c r="G320" s="16"/>
      <c r="H320" s="16" t="str">
        <f>IFERROR(__xludf.DUMMYFUNCTION("""COMPUTED_VALUE"""),"Voodoo")</f>
        <v>Voodoo</v>
      </c>
    </row>
    <row r="321">
      <c r="A321" s="16" t="str">
        <f>IFERROR(__xludf.DUMMYFUNCTION("""COMPUTED_VALUE"""),"Ancient Monolith Of Water")</f>
        <v>Ancient Monolith Of Water</v>
      </c>
      <c r="B321" s="16">
        <f>IFERROR(__xludf.DUMMYFUNCTION("""COMPUTED_VALUE"""),9.0)</f>
        <v>9</v>
      </c>
      <c r="C321" s="16">
        <f>IFERROR(__xludf.DUMMYFUNCTION("""COMPUTED_VALUE"""),300.0)</f>
        <v>300</v>
      </c>
      <c r="D321" s="16"/>
      <c r="E321" s="16" t="str">
        <f>IFERROR(__xludf.DUMMYFUNCTION("""COMPUTED_VALUE"""),"X4 additional water damage for caster and allies, + fire immunity to caster only for 3 rounds.")</f>
        <v>X4 additional water damage for caster and allies, + fire immunity to caster only for 3 rounds.</v>
      </c>
      <c r="F321" s="16" t="str">
        <f>IFERROR(__xludf.DUMMYFUNCTION("""COMPUTED_VALUE"""),"Fail/Succeed")</f>
        <v>Fail/Succeed</v>
      </c>
      <c r="G321" s="16"/>
      <c r="H321" s="16" t="str">
        <f>IFERROR(__xludf.DUMMYFUNCTION("""COMPUTED_VALUE"""),"Water")</f>
        <v>Water</v>
      </c>
    </row>
    <row r="322">
      <c r="A322" s="16" t="str">
        <f>IFERROR(__xludf.DUMMYFUNCTION("""COMPUTED_VALUE"""),"Aquafie")</f>
        <v>Aquafie</v>
      </c>
      <c r="B322" s="16">
        <f>IFERROR(__xludf.DUMMYFUNCTION("""COMPUTED_VALUE"""),4.0)</f>
        <v>4</v>
      </c>
      <c r="C322" s="16" t="str">
        <f>IFERROR(__xludf.DUMMYFUNCTION("""COMPUTED_VALUE"""),"X*3")</f>
        <v>X*3</v>
      </c>
      <c r="D322" s="16"/>
      <c r="E322" s="16" t="str">
        <f>IFERROR(__xludf.DUMMYFUNCTION("""COMPUTED_VALUE"""),"Target gains X*4 Water damage and X*4 Water resistance, can’t be used on self.")</f>
        <v>Target gains X*4 Water damage and X*4 Water resistance, can’t be used on self.</v>
      </c>
      <c r="F322" s="16" t="str">
        <f>IFERROR(__xludf.DUMMYFUNCTION("""COMPUTED_VALUE"""),"Will Succeed")</f>
        <v>Will Succeed</v>
      </c>
      <c r="G322" s="16"/>
      <c r="H322" s="16" t="str">
        <f>IFERROR(__xludf.DUMMYFUNCTION("""COMPUTED_VALUE"""),"Water")</f>
        <v>Water</v>
      </c>
    </row>
    <row r="323">
      <c r="A323" s="16" t="str">
        <f>IFERROR(__xludf.DUMMYFUNCTION("""COMPUTED_VALUE"""),"Avalanche")</f>
        <v>Avalanche</v>
      </c>
      <c r="B323" s="16">
        <f>IFERROR(__xludf.DUMMYFUNCTION("""COMPUTED_VALUE"""),8.0)</f>
        <v>8</v>
      </c>
      <c r="C323" s="16" t="str">
        <f>IFERROR(__xludf.DUMMYFUNCTION("""COMPUTED_VALUE"""),"X")</f>
        <v>X</v>
      </c>
      <c r="D323" s="16"/>
      <c r="E323" s="16" t="str">
        <f>IFERROR(__xludf.DUMMYFUNCTION("""COMPUTED_VALUE"""),"X*20 water damage to all enemies, Where X is equal to SP spent, 50% instant death")</f>
        <v>X*20 water damage to all enemies, Where X is equal to SP spent, 50% instant death</v>
      </c>
      <c r="F323" s="16" t="str">
        <f>IFERROR(__xludf.DUMMYFUNCTION("""COMPUTED_VALUE"""),"Not Avoidable")</f>
        <v>Not Avoidable</v>
      </c>
      <c r="G323" s="16"/>
      <c r="H323" s="16" t="str">
        <f>IFERROR(__xludf.DUMMYFUNCTION("""COMPUTED_VALUE"""),"Water")</f>
        <v>Water</v>
      </c>
    </row>
    <row r="324">
      <c r="A324" s="16" t="str">
        <f>IFERROR(__xludf.DUMMYFUNCTION("""COMPUTED_VALUE"""),"Blizzard")</f>
        <v>Blizzard</v>
      </c>
      <c r="B324" s="16">
        <f>IFERROR(__xludf.DUMMYFUNCTION("""COMPUTED_VALUE"""),6.0)</f>
        <v>6</v>
      </c>
      <c r="C324" s="16">
        <f>IFERROR(__xludf.DUMMYFUNCTION("""COMPUTED_VALUE"""),240.0)</f>
        <v>240</v>
      </c>
      <c r="D324" s="16"/>
      <c r="E324" s="16" t="str">
        <f>IFERROR(__xludf.DUMMYFUNCTION("""COMPUTED_VALUE"""),"6000 water damage to all enemies; 50% chance to freeze 1d6 enemies.")</f>
        <v>6000 water damage to all enemies; 50% chance to freeze 1d6 enemies.</v>
      </c>
      <c r="F324" s="16" t="str">
        <f>IFERROR(__xludf.DUMMYFUNCTION("""COMPUTED_VALUE"""),"Cannot Avoid")</f>
        <v>Cannot Avoid</v>
      </c>
      <c r="G324" s="16" t="str">
        <f>IFERROR(__xludf.DUMMYFUNCTION("""COMPUTED_VALUE"""),"1d6")</f>
        <v>1d6</v>
      </c>
      <c r="H324" s="16" t="str">
        <f>IFERROR(__xludf.DUMMYFUNCTION("""COMPUTED_VALUE"""),"Water")</f>
        <v>Water</v>
      </c>
    </row>
    <row r="325">
      <c r="A325" s="16" t="str">
        <f>IFERROR(__xludf.DUMMYFUNCTION("""COMPUTED_VALUE"""),"Crashing Waves")</f>
        <v>Crashing Waves</v>
      </c>
      <c r="B325" s="16">
        <f>IFERROR(__xludf.DUMMYFUNCTION("""COMPUTED_VALUE"""),9.0)</f>
        <v>9</v>
      </c>
      <c r="C325" s="16">
        <f>IFERROR(__xludf.DUMMYFUNCTION("""COMPUTED_VALUE"""),800.0)</f>
        <v>800</v>
      </c>
      <c r="D325" s="16"/>
      <c r="E325" s="16" t="str">
        <f>IFERROR(__xludf.DUMMYFUNCTION("""COMPUTED_VALUE"""),"20,000 water damage to all enemies +75% chance of instant death.")</f>
        <v>20,000 water damage to all enemies +75% chance of instant death.</v>
      </c>
      <c r="F325" s="16" t="str">
        <f>IFERROR(__xludf.DUMMYFUNCTION("""COMPUTED_VALUE"""),"Not Avoidable")</f>
        <v>Not Avoidable</v>
      </c>
      <c r="G325" s="16"/>
      <c r="H325" s="16" t="str">
        <f>IFERROR(__xludf.DUMMYFUNCTION("""COMPUTED_VALUE"""),"Water")</f>
        <v>Water</v>
      </c>
    </row>
    <row r="326">
      <c r="A326" s="16" t="str">
        <f>IFERROR(__xludf.DUMMYFUNCTION("""COMPUTED_VALUE"""),"Deep Freeze")</f>
        <v>Deep Freeze</v>
      </c>
      <c r="B326" s="16">
        <f>IFERROR(__xludf.DUMMYFUNCTION("""COMPUTED_VALUE"""),6.0)</f>
        <v>6</v>
      </c>
      <c r="C326" s="16" t="str">
        <f>IFERROR(__xludf.DUMMYFUNCTION("""COMPUTED_VALUE"""),"X")</f>
        <v>X</v>
      </c>
      <c r="D326" s="16"/>
      <c r="E326" s="16" t="str">
        <f>IFERROR(__xludf.DUMMYFUNCTION("""COMPUTED_VALUE"""),"Deals X*10 Water damage per round to all enemies for 3 rounds where X is equal to SP spent.")</f>
        <v>Deals X*10 Water damage per round to all enemies for 3 rounds where X is equal to SP spent.</v>
      </c>
      <c r="F326" s="16" t="str">
        <f>IFERROR(__xludf.DUMMYFUNCTION("""COMPUTED_VALUE"""),"Cannot Avoid")</f>
        <v>Cannot Avoid</v>
      </c>
      <c r="G326" s="16" t="str">
        <f>IFERROR(__xludf.DUMMYFUNCTION("""COMPUTED_VALUE"""),"All")</f>
        <v>All</v>
      </c>
      <c r="H326" s="16" t="str">
        <f>IFERROR(__xludf.DUMMYFUNCTION("""COMPUTED_VALUE"""),"Water")</f>
        <v>Water</v>
      </c>
    </row>
    <row r="327">
      <c r="A327" s="16" t="str">
        <f>IFERROR(__xludf.DUMMYFUNCTION("""COMPUTED_VALUE"""),"Frostbite")</f>
        <v>Frostbite</v>
      </c>
      <c r="B327" s="16">
        <f>IFERROR(__xludf.DUMMYFUNCTION("""COMPUTED_VALUE"""),5.0)</f>
        <v>5</v>
      </c>
      <c r="C327" s="16" t="str">
        <f>IFERROR(__xludf.DUMMYFUNCTION("""COMPUTED_VALUE"""),"X")</f>
        <v>X</v>
      </c>
      <c r="D327" s="16"/>
      <c r="E327" s="16" t="str">
        <f>IFERROR(__xludf.DUMMYFUNCTION("""COMPUTED_VALUE"""),"Deals X*50 Water damage per round for 3 rounds to a single target where X is equal to SP spent.")</f>
        <v>Deals X*50 Water damage per round for 3 rounds to a single target where X is equal to SP spent.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IFERROR(__xludf.DUMMYFUNCTION("""COMPUTED_VALUE"""),"Geyser")</f>
        <v>Geyser</v>
      </c>
      <c r="B328" s="16">
        <f>IFERROR(__xludf.DUMMYFUNCTION("""COMPUTED_VALUE"""),3.0)</f>
        <v>3</v>
      </c>
      <c r="C328" s="16">
        <f>IFERROR(__xludf.DUMMYFUNCTION("""COMPUTED_VALUE"""),30.0)</f>
        <v>30</v>
      </c>
      <c r="D328" s="16"/>
      <c r="E328" s="16" t="str">
        <f>IFERROR(__xludf.DUMMYFUNCTION("""COMPUTED_VALUE"""),"3000 Damage to a single target, 50% chance they lose their next turn.")</f>
        <v>3000 Damage to a single target, 50% chance they lose their next turn.</v>
      </c>
      <c r="F328" s="16" t="str">
        <f>IFERROR(__xludf.DUMMYFUNCTION("""COMPUTED_VALUE"""),"Fail/Succeed")</f>
        <v>Fail/Succeed</v>
      </c>
      <c r="G328" s="16"/>
      <c r="H328" s="16" t="str">
        <f>IFERROR(__xludf.DUMMYFUNCTION("""COMPUTED_VALUE"""),"Water")</f>
        <v>Water</v>
      </c>
    </row>
    <row r="329">
      <c r="A329" s="16" t="str">
        <f>IFERROR(__xludf.DUMMYFUNCTION("""COMPUTED_VALUE"""),"Ice Ball")</f>
        <v>Ice Ball</v>
      </c>
      <c r="B329" s="16">
        <f>IFERROR(__xludf.DUMMYFUNCTION("""COMPUTED_VALUE"""),1.0)</f>
        <v>1</v>
      </c>
      <c r="C329" s="16">
        <f>IFERROR(__xludf.DUMMYFUNCTION("""COMPUTED_VALUE"""),10.0)</f>
        <v>10</v>
      </c>
      <c r="D329" s="16"/>
      <c r="E329" s="16" t="str">
        <f>IFERROR(__xludf.DUMMYFUNCTION("""COMPUTED_VALUE"""),"1000 water damage, 20% chance to freeze target.")</f>
        <v>1000 water damage, 20% chance to freeze target.</v>
      </c>
      <c r="F329" s="16" t="str">
        <f>IFERROR(__xludf.DUMMYFUNCTION("""COMPUTED_VALUE"""),"Hit/Miss")</f>
        <v>Hit/Miss</v>
      </c>
      <c r="G329" s="16">
        <f>IFERROR(__xludf.DUMMYFUNCTION("""COMPUTED_VALUE"""),1.0)</f>
        <v>1</v>
      </c>
      <c r="H329" s="16" t="str">
        <f>IFERROR(__xludf.DUMMYFUNCTION("""COMPUTED_VALUE"""),"Water")</f>
        <v>Water</v>
      </c>
    </row>
    <row r="330">
      <c r="A330" s="16" t="str">
        <f>IFERROR(__xludf.DUMMYFUNCTION("""COMPUTED_VALUE"""),"Icicle Spear")</f>
        <v>Icicle Spear</v>
      </c>
      <c r="B330" s="16">
        <f>IFERROR(__xludf.DUMMYFUNCTION("""COMPUTED_VALUE"""),4.0)</f>
        <v>4</v>
      </c>
      <c r="C330" s="16">
        <f>IFERROR(__xludf.DUMMYFUNCTION("""COMPUTED_VALUE"""),40.0)</f>
        <v>40</v>
      </c>
      <c r="D330" s="16"/>
      <c r="E330" s="16" t="str">
        <f>IFERROR(__xludf.DUMMYFUNCTION("""COMPUTED_VALUE"""),"4000 water damage, 50% chance to freeze target.")</f>
        <v>4000 water damage, 50% chance to freeze target.</v>
      </c>
      <c r="F330" s="16" t="str">
        <f>IFERROR(__xludf.DUMMYFUNCTION("""COMPUTED_VALUE"""),"Hit/Miss")</f>
        <v>Hit/Miss</v>
      </c>
      <c r="G330" s="16">
        <f>IFERROR(__xludf.DUMMYFUNCTION("""COMPUTED_VALUE"""),1.0)</f>
        <v>1</v>
      </c>
      <c r="H330" s="16" t="str">
        <f>IFERROR(__xludf.DUMMYFUNCTION("""COMPUTED_VALUE"""),"Water")</f>
        <v>Water</v>
      </c>
    </row>
    <row r="331">
      <c r="A331" s="16" t="str">
        <f>IFERROR(__xludf.DUMMYFUNCTION("""COMPUTED_VALUE"""),"Quench")</f>
        <v>Quench</v>
      </c>
      <c r="B331" s="16">
        <f>IFERROR(__xludf.DUMMYFUNCTION("""COMPUTED_VALUE"""),2.0)</f>
        <v>2</v>
      </c>
      <c r="C331" s="16">
        <f>IFERROR(__xludf.DUMMYFUNCTION("""COMPUTED_VALUE"""),20.0)</f>
        <v>20</v>
      </c>
      <c r="D331" s="16"/>
      <c r="E331" s="16" t="str">
        <f>IFERROR(__xludf.DUMMYFUNCTION("""COMPUTED_VALUE"""),"Negate the next incoming fire spell.")</f>
        <v>Negate the next incoming fire spell.</v>
      </c>
      <c r="F331" s="16" t="str">
        <f>IFERROR(__xludf.DUMMYFUNCTION("""COMPUTED_VALUE"""),"Fail/Succeed")</f>
        <v>Fail/Succeed</v>
      </c>
      <c r="G331" s="16"/>
      <c r="H331" s="16" t="str">
        <f>IFERROR(__xludf.DUMMYFUNCTION("""COMPUTED_VALUE"""),"Water")</f>
        <v>Water</v>
      </c>
    </row>
    <row r="332">
      <c r="A332" s="16" t="str">
        <f>IFERROR(__xludf.DUMMYFUNCTION("""COMPUTED_VALUE"""),"Torrential Downpour")</f>
        <v>Torrential Downpour</v>
      </c>
      <c r="B332" s="16">
        <f>IFERROR(__xludf.DUMMYFUNCTION("""COMPUTED_VALUE"""),5.0)</f>
        <v>5</v>
      </c>
      <c r="C332" s="16" t="str">
        <f>IFERROR(__xludf.DUMMYFUNCTION("""COMPUTED_VALUE"""),"X")</f>
        <v>X</v>
      </c>
      <c r="D332" s="16"/>
      <c r="E332" s="16" t="str">
        <f>IFERROR(__xludf.DUMMYFUNCTION("""COMPUTED_VALUE"""),"Deals X*25 Water undefendable damage to all enemies where X is equal to SP spent.")</f>
        <v>Deals X*25 Water undefendable damage to all enemies where X is equal to SP spent.</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IFERROR(__xludf.DUMMYFUNCTION("""COMPUTED_VALUE"""),"Tower Of Atlantis")</f>
        <v>Tower Of Atlantis</v>
      </c>
      <c r="B333" s="16">
        <f>IFERROR(__xludf.DUMMYFUNCTION("""COMPUTED_VALUE"""),9.0)</f>
        <v>9</v>
      </c>
      <c r="C333" s="16">
        <f>IFERROR(__xludf.DUMMYFUNCTION("""COMPUTED_VALUE"""),500.0)</f>
        <v>500</v>
      </c>
      <c r="D333" s="16"/>
      <c r="E333"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IFERROR(__xludf.DUMMYFUNCTION("""COMPUTED_VALUE"""),"Tsunami")</f>
        <v>Tsunami</v>
      </c>
      <c r="B334" s="16">
        <f>IFERROR(__xludf.DUMMYFUNCTION("""COMPUTED_VALUE"""),9.0)</f>
        <v>9</v>
      </c>
      <c r="C334" s="16" t="str">
        <f>IFERROR(__xludf.DUMMYFUNCTION("""COMPUTED_VALUE"""),"d20*40")</f>
        <v>d20*40</v>
      </c>
      <c r="D334" s="16"/>
      <c r="E334"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4" s="16" t="str">
        <f>IFERROR(__xludf.DUMMYFUNCTION("""COMPUTED_VALUE"""),"Cannot Avoid")</f>
        <v>Cannot Avoid</v>
      </c>
      <c r="G334" s="16" t="str">
        <f>IFERROR(__xludf.DUMMYFUNCTION("""COMPUTED_VALUE"""),"All")</f>
        <v>All</v>
      </c>
      <c r="H334" s="16" t="str">
        <f>IFERROR(__xludf.DUMMYFUNCTION("""COMPUTED_VALUE"""),"Water")</f>
        <v>Water</v>
      </c>
    </row>
    <row r="335">
      <c r="A335" s="16" t="str">
        <f>IFERROR(__xludf.DUMMYFUNCTION("""COMPUTED_VALUE"""),"Water Beam")</f>
        <v>Water Beam</v>
      </c>
      <c r="B335" s="16">
        <f>IFERROR(__xludf.DUMMYFUNCTION("""COMPUTED_VALUE"""),1.0)</f>
        <v>1</v>
      </c>
      <c r="C335" s="16" t="str">
        <f>IFERROR(__xludf.DUMMYFUNCTION("""COMPUTED_VALUE"""),"X")</f>
        <v>X</v>
      </c>
      <c r="D335" s="16"/>
      <c r="E335" s="16" t="str">
        <f>IFERROR(__xludf.DUMMYFUNCTION("""COMPUTED_VALUE"""),"Deals X*100 Water undefendable damage to a single enemy where X is equal to SP spent.")</f>
        <v>Deals X*100 Water undefendable damage to a single enemy where X is equal to SP spent.</v>
      </c>
      <c r="F335" s="16" t="str">
        <f>IFERROR(__xludf.DUMMYFUNCTION("""COMPUTED_VALUE"""),"Hit/Miss")</f>
        <v>Hit/Miss</v>
      </c>
      <c r="G335" s="16">
        <f>IFERROR(__xludf.DUMMYFUNCTION("""COMPUTED_VALUE"""),1.0)</f>
        <v>1</v>
      </c>
      <c r="H335" s="16" t="str">
        <f>IFERROR(__xludf.DUMMYFUNCTION("""COMPUTED_VALUE"""),"Water")</f>
        <v>Water</v>
      </c>
    </row>
    <row r="336">
      <c r="A336" s="16" t="str">
        <f>IFERROR(__xludf.DUMMYFUNCTION("""COMPUTED_VALUE"""),"Waters of Tranquility")</f>
        <v>Waters of Tranquility</v>
      </c>
      <c r="B336" s="16">
        <f>IFERROR(__xludf.DUMMYFUNCTION("""COMPUTED_VALUE"""),7.0)</f>
        <v>7</v>
      </c>
      <c r="C336" s="16" t="str">
        <f>IFERROR(__xludf.DUMMYFUNCTION("""COMPUTED_VALUE"""),"X")</f>
        <v>X</v>
      </c>
      <c r="D336" s="16"/>
      <c r="E336" s="16" t="str">
        <f>IFERROR(__xludf.DUMMYFUNCTION("""COMPUTED_VALUE"""),"Negate X*4 water damage.")</f>
        <v>Negate X*4 water damage.</v>
      </c>
      <c r="F336" s="16" t="str">
        <f>IFERROR(__xludf.DUMMYFUNCTION("""COMPUTED_VALUE"""),"Fail/Succeed")</f>
        <v>Fail/Succeed</v>
      </c>
      <c r="G336" s="16"/>
      <c r="H336" s="16" t="str">
        <f>IFERROR(__xludf.DUMMYFUNCTION("""COMPUTED_VALUE"""),"Water")</f>
        <v>Water</v>
      </c>
    </row>
    <row r="337">
      <c r="A337" s="16" t="str">
        <f>IFERROR(__xludf.DUMMYFUNCTION("""COMPUTED_VALUE"""),"Cease-Fire")</f>
        <v>Cease-Fire</v>
      </c>
      <c r="B337" s="16">
        <f>IFERROR(__xludf.DUMMYFUNCTION("""COMPUTED_VALUE"""),9.0)</f>
        <v>9</v>
      </c>
      <c r="C337" s="16" t="str">
        <f>IFERROR(__xludf.DUMMYFUNCTION("""COMPUTED_VALUE"""),"X*1000")</f>
        <v>X*1000</v>
      </c>
      <c r="D337" s="16"/>
      <c r="E337"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7" s="16" t="str">
        <f>IFERROR(__xludf.DUMMYFUNCTION("""COMPUTED_VALUE"""),"Fail/Succeed")</f>
        <v>Fail/Succeed</v>
      </c>
      <c r="G337" s="16"/>
      <c r="H337" s="16" t="str">
        <f>IFERROR(__xludf.DUMMYFUNCTION("""COMPUTED_VALUE"""),"Zen")</f>
        <v>Zen</v>
      </c>
    </row>
    <row r="338">
      <c r="A338" s="16" t="str">
        <f>IFERROR(__xludf.DUMMYFUNCTION("""COMPUTED_VALUE"""),"Elemental Fists")</f>
        <v>Elemental Fists</v>
      </c>
      <c r="B338" s="16">
        <f>IFERROR(__xludf.DUMMYFUNCTION("""COMPUTED_VALUE"""),1.0)</f>
        <v>1</v>
      </c>
      <c r="C338" s="16">
        <f>IFERROR(__xludf.DUMMYFUNCTION("""COMPUTED_VALUE"""),0.0)</f>
        <v>0</v>
      </c>
      <c r="D338" s="16"/>
      <c r="E338"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8" s="16" t="str">
        <f>IFERROR(__xludf.DUMMYFUNCTION("""COMPUTED_VALUE"""),"Natural/Hit or Miss")</f>
        <v>Natural/Hit or Miss</v>
      </c>
      <c r="G338" s="16">
        <f>IFERROR(__xludf.DUMMYFUNCTION("""COMPUTED_VALUE"""),1.0)</f>
        <v>1</v>
      </c>
      <c r="H338" s="16" t="str">
        <f>IFERROR(__xludf.DUMMYFUNCTION("""COMPUTED_VALUE"""),"Zen")</f>
        <v>Zen</v>
      </c>
    </row>
    <row r="339">
      <c r="A339" s="16" t="str">
        <f>IFERROR(__xludf.DUMMYFUNCTION("""COMPUTED_VALUE"""),"Evade")</f>
        <v>Evade</v>
      </c>
      <c r="B339" s="16">
        <f>IFERROR(__xludf.DUMMYFUNCTION("""COMPUTED_VALUE"""),1.0)</f>
        <v>1</v>
      </c>
      <c r="C339" s="16">
        <f>IFERROR(__xludf.DUMMYFUNCTION("""COMPUTED_VALUE"""),10.0)</f>
        <v>10</v>
      </c>
      <c r="D339" s="16"/>
      <c r="E339" s="16" t="str">
        <f>IFERROR(__xludf.DUMMYFUNCTION("""COMPUTED_VALUE"""),"+5 to evasion until the end of battle. Can only be used once.")</f>
        <v>+5 to evasion until the end of battle. Can only be used once.</v>
      </c>
      <c r="F339" s="16" t="str">
        <f>IFERROR(__xludf.DUMMYFUNCTION("""COMPUTED_VALUE"""),"Fail/Succeed")</f>
        <v>Fail/Succeed</v>
      </c>
      <c r="G339" s="16"/>
      <c r="H339" s="16" t="str">
        <f>IFERROR(__xludf.DUMMYFUNCTION("""COMPUTED_VALUE"""),"Zen")</f>
        <v>Zen</v>
      </c>
    </row>
    <row r="340">
      <c r="A340" s="16" t="str">
        <f>IFERROR(__xludf.DUMMYFUNCTION("""COMPUTED_VALUE"""),"FlashStep")</f>
        <v>FlashStep</v>
      </c>
      <c r="B340" s="16">
        <f>IFERROR(__xludf.DUMMYFUNCTION("""COMPUTED_VALUE"""),9.0)</f>
        <v>9</v>
      </c>
      <c r="C340" s="16">
        <f>IFERROR(__xludf.DUMMYFUNCTION("""COMPUTED_VALUE"""),600.0)</f>
        <v>600</v>
      </c>
      <c r="D340" s="16"/>
      <c r="E340"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40" s="16" t="str">
        <f>IFERROR(__xludf.DUMMYFUNCTION("""COMPUTED_VALUE"""),"Hit/Miss")</f>
        <v>Hit/Miss</v>
      </c>
      <c r="G340" s="16">
        <f>IFERROR(__xludf.DUMMYFUNCTION("""COMPUTED_VALUE"""),1.0)</f>
        <v>1</v>
      </c>
      <c r="H340" s="16" t="str">
        <f>IFERROR(__xludf.DUMMYFUNCTION("""COMPUTED_VALUE"""),"Zen")</f>
        <v>Zen</v>
      </c>
    </row>
    <row r="341">
      <c r="A341" s="16" t="str">
        <f>IFERROR(__xludf.DUMMYFUNCTION("""COMPUTED_VALUE"""),"Focus")</f>
        <v>Focus</v>
      </c>
      <c r="B341" s="16">
        <f>IFERROR(__xludf.DUMMYFUNCTION("""COMPUTED_VALUE"""),1.0)</f>
        <v>1</v>
      </c>
      <c r="C341" s="16">
        <f>IFERROR(__xludf.DUMMYFUNCTION("""COMPUTED_VALUE"""),10.0)</f>
        <v>10</v>
      </c>
      <c r="D341" s="16"/>
      <c r="E341" s="16" t="str">
        <f>IFERROR(__xludf.DUMMYFUNCTION("""COMPUTED_VALUE"""),"Gain X2 attack, accuracy, and defense till the end of battle.")</f>
        <v>Gain X2 attack, accuracy, and defense till the end of battle.</v>
      </c>
      <c r="F341" s="16" t="str">
        <f>IFERROR(__xludf.DUMMYFUNCTION("""COMPUTED_VALUE"""),"Fail/succeed")</f>
        <v>Fail/succeed</v>
      </c>
      <c r="G341" s="16"/>
      <c r="H341" s="16" t="str">
        <f>IFERROR(__xludf.DUMMYFUNCTION("""COMPUTED_VALUE"""),"Zen")</f>
        <v>Zen</v>
      </c>
    </row>
    <row r="342">
      <c r="A342" s="16" t="str">
        <f>IFERROR(__xludf.DUMMYFUNCTION("""COMPUTED_VALUE"""),"Foresight")</f>
        <v>Foresight</v>
      </c>
      <c r="B342" s="16">
        <f>IFERROR(__xludf.DUMMYFUNCTION("""COMPUTED_VALUE"""),8.0)</f>
        <v>8</v>
      </c>
      <c r="C342" s="16">
        <f>IFERROR(__xludf.DUMMYFUNCTION("""COMPUTED_VALUE"""),1000.0)</f>
        <v>1000</v>
      </c>
      <c r="D342" s="16"/>
      <c r="E342" s="16" t="str">
        <f>IFERROR(__xludf.DUMMYFUNCTION("""COMPUTED_VALUE"""),"Immune to instant death and evade all attacks the rest of the round. (Cannot avoid attacks are still avoided)")</f>
        <v>Immune to instant death and evade all attacks the rest of the round. (Cannot avoid attacks are still avoided)</v>
      </c>
      <c r="F342" s="16" t="str">
        <f>IFERROR(__xludf.DUMMYFUNCTION("""COMPUTED_VALUE"""),"Fail/Succeed")</f>
        <v>Fail/Succeed</v>
      </c>
      <c r="G342" s="16"/>
      <c r="H342" s="16" t="str">
        <f>IFERROR(__xludf.DUMMYFUNCTION("""COMPUTED_VALUE"""),"Zen")</f>
        <v>Zen</v>
      </c>
    </row>
    <row r="343">
      <c r="A343" s="16" t="str">
        <f>IFERROR(__xludf.DUMMYFUNCTION("""COMPUTED_VALUE"""),"Ki Blast")</f>
        <v>Ki Blast</v>
      </c>
      <c r="B343" s="16">
        <f>IFERROR(__xludf.DUMMYFUNCTION("""COMPUTED_VALUE"""),9.0)</f>
        <v>9</v>
      </c>
      <c r="C343" s="16">
        <f>IFERROR(__xludf.DUMMYFUNCTION("""COMPUTED_VALUE"""),7200.0)</f>
        <v>7200</v>
      </c>
      <c r="D343" s="16"/>
      <c r="E343" s="16" t="str">
        <f>IFERROR(__xludf.DUMMYFUNCTION("""COMPUTED_VALUE"""),"36,000 storm, earth, water, fire, and nature damage.")</f>
        <v>36,000 storm, earth, water, fire, and nature damage.</v>
      </c>
      <c r="F343" s="16" t="str">
        <f>IFERROR(__xludf.DUMMYFUNCTION("""COMPUTED_VALUE"""),"Cannot Avoid")</f>
        <v>Cannot Avoid</v>
      </c>
      <c r="G343" s="16"/>
      <c r="H343" s="16" t="str">
        <f>IFERROR(__xludf.DUMMYFUNCTION("""COMPUTED_VALUE"""),"Zen")</f>
        <v>Zen</v>
      </c>
    </row>
    <row r="344">
      <c r="A344" s="16" t="str">
        <f>IFERROR(__xludf.DUMMYFUNCTION("""COMPUTED_VALUE"""),"Ki Charge")</f>
        <v>Ki Charge</v>
      </c>
      <c r="B344" s="16">
        <f>IFERROR(__xludf.DUMMYFUNCTION("""COMPUTED_VALUE"""),7.0)</f>
        <v>7</v>
      </c>
      <c r="C344" s="16">
        <f>IFERROR(__xludf.DUMMYFUNCTION("""COMPUTED_VALUE"""),400.0)</f>
        <v>400</v>
      </c>
      <c r="D344" s="16"/>
      <c r="E344" s="16" t="str">
        <f>IFERROR(__xludf.DUMMYFUNCTION("""COMPUTED_VALUE"""),"X2 additional storm, earth, water, fire, and nature damage.")</f>
        <v>X2 additional storm, earth, water, fire, and nature damage.</v>
      </c>
      <c r="F344" s="16" t="str">
        <f>IFERROR(__xludf.DUMMYFUNCTION("""COMPUTED_VALUE"""),"Will Suceed.")</f>
        <v>Will Suceed.</v>
      </c>
      <c r="G344" s="16" t="str">
        <f>IFERROR(__xludf.DUMMYFUNCTION("""COMPUTED_VALUE"""),"Self")</f>
        <v>Self</v>
      </c>
      <c r="H344" s="16" t="str">
        <f>IFERROR(__xludf.DUMMYFUNCTION("""COMPUTED_VALUE"""),"Zen")</f>
        <v>Zen</v>
      </c>
    </row>
    <row r="345">
      <c r="A345" s="16" t="str">
        <f>IFERROR(__xludf.DUMMYFUNCTION("""COMPUTED_VALUE"""),"Max Evade")</f>
        <v>Max Evade</v>
      </c>
      <c r="B345" s="16">
        <f>IFERROR(__xludf.DUMMYFUNCTION("""COMPUTED_VALUE"""),6.0)</f>
        <v>6</v>
      </c>
      <c r="C345" s="16">
        <f>IFERROR(__xludf.DUMMYFUNCTION("""COMPUTED_VALUE"""),60.0)</f>
        <v>60</v>
      </c>
      <c r="D345" s="16"/>
      <c r="E345" s="16" t="str">
        <f>IFERROR(__xludf.DUMMYFUNCTION("""COMPUTED_VALUE"""),"+5 evasion and mobility for 3 rounds.")</f>
        <v>+5 evasion and mobility for 3 rounds.</v>
      </c>
      <c r="F345" s="16" t="str">
        <f>IFERROR(__xludf.DUMMYFUNCTION("""COMPUTED_VALUE"""),"Will Succeed")</f>
        <v>Will Succeed</v>
      </c>
      <c r="G345" s="16"/>
      <c r="H345" s="16" t="str">
        <f>IFERROR(__xludf.DUMMYFUNCTION("""COMPUTED_VALUE"""),"Zen")</f>
        <v>Zen</v>
      </c>
    </row>
    <row r="346">
      <c r="A346" s="16" t="str">
        <f>IFERROR(__xludf.DUMMYFUNCTION("""COMPUTED_VALUE"""),"Max Focus")</f>
        <v>Max Focus</v>
      </c>
      <c r="B346" s="16">
        <f>IFERROR(__xludf.DUMMYFUNCTION("""COMPUTED_VALUE"""),9.0)</f>
        <v>9</v>
      </c>
      <c r="C346" s="16" t="str">
        <f>IFERROR(__xludf.DUMMYFUNCTION("""COMPUTED_VALUE"""),"X*2000")</f>
        <v>X*2000</v>
      </c>
      <c r="D346" s="16"/>
      <c r="E346" s="16" t="str">
        <f>IFERROR(__xludf.DUMMYFUNCTION("""COMPUTED_VALUE"""),"You gain X Evasion, Mobility, and Intimidation where X is equal to the SP you pay (Max 5) for 3 rounds.")</f>
        <v>You gain X Evasion, Mobility, and Intimidation where X is equal to the SP you pay (Max 5) for 3 rounds.</v>
      </c>
      <c r="F346" s="16" t="str">
        <f>IFERROR(__xludf.DUMMYFUNCTION("""COMPUTED_VALUE"""),"Fail/Succeed")</f>
        <v>Fail/Succeed</v>
      </c>
      <c r="G346" s="16" t="str">
        <f>IFERROR(__xludf.DUMMYFUNCTION("""COMPUTED_VALUE"""),"Self")</f>
        <v>Self</v>
      </c>
      <c r="H346" s="16" t="str">
        <f>IFERROR(__xludf.DUMMYFUNCTION("""COMPUTED_VALUE"""),"Zen")</f>
        <v>Zen</v>
      </c>
    </row>
    <row r="347">
      <c r="A347" s="16" t="str">
        <f>IFERROR(__xludf.DUMMYFUNCTION("""COMPUTED_VALUE"""),"Mind Press")</f>
        <v>Mind Press</v>
      </c>
      <c r="B347" s="16">
        <f>IFERROR(__xludf.DUMMYFUNCTION("""COMPUTED_VALUE"""),9.0)</f>
        <v>9</v>
      </c>
      <c r="C347" s="16">
        <f>IFERROR(__xludf.DUMMYFUNCTION("""COMPUTED_VALUE"""),12000.0)</f>
        <v>12000</v>
      </c>
      <c r="D347" s="16"/>
      <c r="E347" s="16" t="str">
        <f>IFERROR(__xludf.DUMMYFUNCTION("""COMPUTED_VALUE"""),"30,000 damage to all enemies. Cannot resist or be immune to.")</f>
        <v>30,000 damage to all enemies. Cannot resist or be immune to.</v>
      </c>
      <c r="F347" s="16" t="str">
        <f>IFERROR(__xludf.DUMMYFUNCTION("""COMPUTED_VALUE"""),"Will Succeed")</f>
        <v>Will Succeed</v>
      </c>
      <c r="G347" s="16"/>
      <c r="H347" s="16" t="str">
        <f>IFERROR(__xludf.DUMMYFUNCTION("""COMPUTED_VALUE"""),"Zen")</f>
        <v>Zen</v>
      </c>
    </row>
    <row r="348">
      <c r="A348" s="16" t="str">
        <f>IFERROR(__xludf.DUMMYFUNCTION("""COMPUTED_VALUE"""),"Monks Blessing")</f>
        <v>Monks Blessing</v>
      </c>
      <c r="B348" s="16">
        <f>IFERROR(__xludf.DUMMYFUNCTION("""COMPUTED_VALUE"""),6.0)</f>
        <v>6</v>
      </c>
      <c r="C348" s="16">
        <f>IFERROR(__xludf.DUMMYFUNCTION("""COMPUTED_VALUE"""),60.0)</f>
        <v>60</v>
      </c>
      <c r="D348" s="16"/>
      <c r="E348"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8" s="16" t="str">
        <f>IFERROR(__xludf.DUMMYFUNCTION("""COMPUTED_VALUE"""),"Fail/Succeed")</f>
        <v>Fail/Succeed</v>
      </c>
      <c r="G348" s="16"/>
      <c r="H348" s="16" t="str">
        <f>IFERROR(__xludf.DUMMYFUNCTION("""COMPUTED_VALUE"""),"Zen")</f>
        <v>Zen</v>
      </c>
    </row>
    <row r="349">
      <c r="A349" s="16" t="str">
        <f>IFERROR(__xludf.DUMMYFUNCTION("""COMPUTED_VALUE"""),"The All Knowing Eye")</f>
        <v>The All Knowing Eye</v>
      </c>
      <c r="B349" s="16">
        <f>IFERROR(__xludf.DUMMYFUNCTION("""COMPUTED_VALUE"""),8.0)</f>
        <v>8</v>
      </c>
      <c r="C349" s="16">
        <f>IFERROR(__xludf.DUMMYFUNCTION("""COMPUTED_VALUE"""),500.0)</f>
        <v>500</v>
      </c>
      <c r="D349" s="16"/>
      <c r="E349" s="16" t="str">
        <f>IFERROR(__xludf.DUMMYFUNCTION("""COMPUTED_VALUE"""),"Increase your roll number by 5 for 3 rounds and take no damage from the next incoming attack. (Battle Only)")</f>
        <v>Increase your roll number by 5 for 3 rounds and take no damage from the next incoming attack. (Battle Only)</v>
      </c>
      <c r="F349" s="16" t="str">
        <f>IFERROR(__xludf.DUMMYFUNCTION("""COMPUTED_VALUE"""),"Fail/Succeed")</f>
        <v>Fail/Succeed</v>
      </c>
      <c r="G349" s="16"/>
      <c r="H349" s="16" t="str">
        <f>IFERROR(__xludf.DUMMYFUNCTION("""COMPUTED_VALUE"""),"Zen")</f>
        <v>Zen</v>
      </c>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6"/>
      <c r="B1" s="97" t="s">
        <v>24</v>
      </c>
      <c r="P1" s="16">
        <f>Leveler!$B$13</f>
        <v>200</v>
      </c>
      <c r="U1" s="14" t="s">
        <v>24</v>
      </c>
      <c r="V1" s="49" t="s">
        <v>25</v>
      </c>
      <c r="W1" s="14" t="s">
        <v>26</v>
      </c>
      <c r="X1" s="49" t="s">
        <v>234</v>
      </c>
      <c r="Y1" s="49" t="s">
        <v>235</v>
      </c>
      <c r="Z1" s="49" t="s">
        <v>27</v>
      </c>
      <c r="AA1" s="49" t="s">
        <v>236</v>
      </c>
    </row>
    <row r="2">
      <c r="A2" s="76" t="s">
        <v>237</v>
      </c>
      <c r="B2" s="14" t="s">
        <v>238</v>
      </c>
      <c r="C2" s="38" t="s">
        <v>25</v>
      </c>
      <c r="D2" s="38" t="s">
        <v>26</v>
      </c>
      <c r="E2" s="38" t="s">
        <v>234</v>
      </c>
      <c r="F2" s="38" t="s">
        <v>235</v>
      </c>
      <c r="G2" s="38" t="s">
        <v>27</v>
      </c>
      <c r="H2" s="38" t="s">
        <v>236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239</v>
      </c>
    </row>
    <row r="8">
      <c r="A8" s="14" t="str">
        <f>"Storage: "&amp;counta(B10:B1070)&amp;"/"&amp;B8</f>
        <v>Storage: 11/70</v>
      </c>
      <c r="B8" s="14">
        <v>70.0</v>
      </c>
    </row>
    <row r="9">
      <c r="A9" s="38" t="s">
        <v>240</v>
      </c>
      <c r="B9" s="38" t="s">
        <v>24</v>
      </c>
      <c r="C9" s="38" t="s">
        <v>25</v>
      </c>
      <c r="D9" s="38" t="s">
        <v>26</v>
      </c>
      <c r="E9" s="38" t="s">
        <v>234</v>
      </c>
      <c r="F9" s="38" t="s">
        <v>235</v>
      </c>
      <c r="G9" s="38" t="s">
        <v>27</v>
      </c>
      <c r="H9" s="38" t="s">
        <v>236</v>
      </c>
      <c r="I9" s="38" t="s">
        <v>241</v>
      </c>
    </row>
    <row r="10">
      <c r="A10" s="64">
        <v>100.0</v>
      </c>
      <c r="B10" s="14" t="s">
        <v>242</v>
      </c>
      <c r="C10" s="14" t="s">
        <v>243</v>
      </c>
      <c r="D10" s="14" t="s">
        <v>244</v>
      </c>
      <c r="E10" s="37"/>
      <c r="F10" s="37"/>
      <c r="G10" s="37"/>
      <c r="H10" s="99"/>
      <c r="I10" s="37"/>
    </row>
    <row r="11">
      <c r="A11" s="64">
        <v>100.0</v>
      </c>
      <c r="B11" s="66" t="s">
        <v>245</v>
      </c>
      <c r="C11" s="100" t="s">
        <v>246</v>
      </c>
      <c r="D11" s="37"/>
      <c r="E11" s="37"/>
      <c r="F11" s="37"/>
      <c r="G11" s="37"/>
      <c r="H11" s="99"/>
      <c r="I11" s="37"/>
    </row>
    <row r="12">
      <c r="A12" s="64">
        <v>1.0</v>
      </c>
      <c r="B12" s="14" t="s">
        <v>238</v>
      </c>
      <c r="D12" s="14" t="s">
        <v>247</v>
      </c>
      <c r="E12" s="14" t="s">
        <v>46</v>
      </c>
      <c r="F12" s="49">
        <v>40.0</v>
      </c>
      <c r="G12" s="14" t="s">
        <v>248</v>
      </c>
      <c r="H12" s="101">
        <v>60000.0</v>
      </c>
      <c r="I12" s="37"/>
    </row>
    <row r="13">
      <c r="A13" s="102">
        <v>1.0</v>
      </c>
      <c r="B13" s="66" t="s">
        <v>29</v>
      </c>
      <c r="C13" s="66" t="s">
        <v>249</v>
      </c>
      <c r="D13" s="37"/>
      <c r="E13" s="66" t="s">
        <v>30</v>
      </c>
      <c r="F13" s="102">
        <v>200.0</v>
      </c>
      <c r="G13" s="66" t="s">
        <v>250</v>
      </c>
      <c r="H13" s="102">
        <v>1.1175E8</v>
      </c>
      <c r="I13" s="37"/>
    </row>
    <row r="14">
      <c r="A14" s="103">
        <v>1.0</v>
      </c>
      <c r="B14" s="100" t="s">
        <v>39</v>
      </c>
      <c r="C14" s="66" t="s">
        <v>249</v>
      </c>
      <c r="D14" s="37"/>
      <c r="E14" s="66" t="s">
        <v>40</v>
      </c>
      <c r="F14" s="103">
        <v>200.0</v>
      </c>
      <c r="G14" s="66" t="s">
        <v>251</v>
      </c>
      <c r="H14" s="104">
        <v>1.1175E8</v>
      </c>
      <c r="I14" s="65"/>
    </row>
    <row r="15">
      <c r="A15" s="103">
        <v>1.0</v>
      </c>
      <c r="B15" s="100" t="s">
        <v>36</v>
      </c>
      <c r="C15" s="66" t="s">
        <v>249</v>
      </c>
      <c r="D15" s="37"/>
      <c r="E15" s="66" t="s">
        <v>37</v>
      </c>
      <c r="F15" s="103">
        <v>200.0</v>
      </c>
      <c r="G15" s="66" t="s">
        <v>252</v>
      </c>
      <c r="H15" s="105">
        <v>1.1175E8</v>
      </c>
      <c r="I15" s="65"/>
    </row>
    <row r="16">
      <c r="A16" s="103">
        <v>1.0</v>
      </c>
      <c r="B16" s="100" t="s">
        <v>42</v>
      </c>
      <c r="C16" s="66" t="s">
        <v>249</v>
      </c>
      <c r="D16" s="37"/>
      <c r="E16" s="66" t="s">
        <v>43</v>
      </c>
      <c r="F16" s="103">
        <v>200.0</v>
      </c>
      <c r="G16" s="66" t="s">
        <v>252</v>
      </c>
      <c r="H16" s="105">
        <v>1.1175E8</v>
      </c>
      <c r="I16" s="37"/>
    </row>
    <row r="17">
      <c r="A17" s="103">
        <v>1.0</v>
      </c>
      <c r="B17" s="100" t="s">
        <v>61</v>
      </c>
      <c r="C17" s="66" t="s">
        <v>249</v>
      </c>
      <c r="D17" s="37"/>
      <c r="E17" s="66" t="s">
        <v>62</v>
      </c>
      <c r="F17" s="103">
        <v>200.0</v>
      </c>
      <c r="G17" s="66" t="s">
        <v>252</v>
      </c>
      <c r="H17" s="105">
        <v>1.1175E8</v>
      </c>
      <c r="I17" s="37"/>
    </row>
    <row r="18">
      <c r="A18" s="103">
        <v>1.0</v>
      </c>
      <c r="B18" s="100" t="s">
        <v>48</v>
      </c>
      <c r="C18" s="66" t="s">
        <v>249</v>
      </c>
      <c r="D18" s="66" t="s">
        <v>247</v>
      </c>
      <c r="E18" s="66" t="s">
        <v>46</v>
      </c>
      <c r="F18" s="103">
        <v>200.0</v>
      </c>
      <c r="G18" s="66" t="s">
        <v>253</v>
      </c>
      <c r="H18" s="105">
        <v>1.1175E8</v>
      </c>
      <c r="I18" s="37"/>
    </row>
    <row r="19">
      <c r="A19" s="103">
        <v>1.0</v>
      </c>
      <c r="B19" s="100" t="s">
        <v>45</v>
      </c>
      <c r="C19" s="66" t="s">
        <v>249</v>
      </c>
      <c r="D19" s="66" t="s">
        <v>254</v>
      </c>
      <c r="E19" s="66" t="s">
        <v>46</v>
      </c>
      <c r="F19" s="103">
        <v>200.0</v>
      </c>
      <c r="G19" s="66" t="s">
        <v>250</v>
      </c>
      <c r="H19" s="105">
        <v>1.1175E8</v>
      </c>
      <c r="I19" s="37"/>
    </row>
    <row r="20">
      <c r="A20" s="103">
        <v>1.0</v>
      </c>
      <c r="B20" s="66" t="s">
        <v>64</v>
      </c>
      <c r="C20" s="66" t="s">
        <v>249</v>
      </c>
      <c r="D20" s="37"/>
      <c r="E20" s="66" t="s">
        <v>65</v>
      </c>
      <c r="F20" s="102">
        <v>200.0</v>
      </c>
      <c r="G20" s="66" t="s">
        <v>252</v>
      </c>
      <c r="H20" s="104">
        <v>1.1175E8</v>
      </c>
      <c r="I20" s="37"/>
    </row>
    <row r="21">
      <c r="A21" s="65"/>
      <c r="B21" s="37"/>
      <c r="C21" s="106"/>
      <c r="D21" s="37"/>
      <c r="E21" s="37"/>
      <c r="F21" s="37"/>
      <c r="G21" s="37"/>
      <c r="H21" s="99"/>
      <c r="I21" s="37"/>
    </row>
    <row r="22">
      <c r="A22" s="65"/>
      <c r="B22" s="106"/>
      <c r="C22" s="37"/>
      <c r="D22" s="37"/>
      <c r="E22" s="37"/>
      <c r="F22" s="65"/>
      <c r="G22" s="106"/>
      <c r="H22" s="99"/>
      <c r="I22" s="37"/>
    </row>
    <row r="23">
      <c r="A23" s="65"/>
      <c r="B23" s="37"/>
      <c r="C23" s="37"/>
      <c r="D23" s="37"/>
      <c r="E23" s="37"/>
      <c r="F23" s="37"/>
      <c r="G23" s="37"/>
      <c r="H23" s="99"/>
      <c r="I23" s="37"/>
    </row>
    <row r="24">
      <c r="A24" s="65"/>
      <c r="B24" s="37"/>
      <c r="C24" s="106"/>
      <c r="D24" s="37"/>
      <c r="E24" s="37"/>
      <c r="F24" s="37"/>
      <c r="G24" s="37"/>
      <c r="H24" s="99"/>
      <c r="I24" s="37"/>
    </row>
    <row r="25">
      <c r="A25" s="65"/>
      <c r="B25" s="37"/>
      <c r="C25" s="106"/>
      <c r="D25" s="37"/>
      <c r="E25" s="37"/>
      <c r="F25" s="37"/>
      <c r="G25" s="37"/>
      <c r="H25" s="99"/>
      <c r="I25" s="37"/>
    </row>
    <row r="26">
      <c r="A26" s="65"/>
      <c r="B26" s="106"/>
      <c r="C26" s="37"/>
      <c r="D26" s="37"/>
      <c r="E26" s="37"/>
      <c r="F26" s="37"/>
      <c r="G26" s="37"/>
      <c r="H26" s="99"/>
      <c r="I26" s="37"/>
    </row>
    <row r="27">
      <c r="A27" s="65"/>
      <c r="B27" s="37"/>
      <c r="C27" s="37"/>
      <c r="D27" s="37"/>
      <c r="E27" s="37"/>
      <c r="F27" s="37"/>
      <c r="G27" s="37"/>
      <c r="H27" s="99"/>
      <c r="I27" s="37"/>
    </row>
    <row r="28">
      <c r="A28" s="65"/>
      <c r="B28" s="37"/>
      <c r="C28" s="106"/>
      <c r="D28" s="37"/>
      <c r="E28" s="37"/>
      <c r="F28" s="37"/>
      <c r="G28" s="37"/>
      <c r="H28" s="99"/>
      <c r="I28" s="37"/>
    </row>
    <row r="29">
      <c r="A29" s="65"/>
      <c r="B29" s="37"/>
      <c r="C29" s="106"/>
      <c r="D29" s="37"/>
      <c r="E29" s="37"/>
      <c r="F29" s="37"/>
      <c r="G29" s="37"/>
      <c r="H29" s="99"/>
      <c r="I29" s="37"/>
    </row>
    <row r="30">
      <c r="A30" s="65"/>
      <c r="B30" s="106"/>
      <c r="C30" s="37"/>
      <c r="D30" s="37"/>
      <c r="E30" s="37"/>
      <c r="F30" s="37"/>
      <c r="G30" s="37"/>
      <c r="H30" s="99"/>
      <c r="I30" s="37"/>
    </row>
    <row r="31">
      <c r="A31" s="65"/>
      <c r="B31" s="37"/>
      <c r="C31" s="37"/>
      <c r="D31" s="37"/>
      <c r="E31" s="37"/>
      <c r="F31" s="37"/>
      <c r="G31" s="37"/>
      <c r="H31" s="99"/>
      <c r="I31" s="37"/>
    </row>
    <row r="32">
      <c r="A32" s="65"/>
      <c r="B32" s="37"/>
      <c r="C32" s="106"/>
      <c r="D32" s="37"/>
      <c r="E32" s="37"/>
      <c r="F32" s="37"/>
      <c r="G32" s="37"/>
      <c r="H32" s="99"/>
      <c r="I32" s="37"/>
    </row>
    <row r="33">
      <c r="A33" s="65"/>
      <c r="B33" s="37"/>
      <c r="C33" s="106"/>
      <c r="D33" s="37"/>
      <c r="E33" s="37"/>
      <c r="F33" s="37"/>
      <c r="G33" s="37"/>
      <c r="H33" s="99"/>
      <c r="I33" s="37"/>
    </row>
    <row r="34">
      <c r="A34" s="65"/>
      <c r="B34" s="37"/>
      <c r="C34" s="106"/>
      <c r="D34" s="37"/>
      <c r="E34" s="37"/>
      <c r="F34" s="37"/>
      <c r="G34" s="37"/>
      <c r="H34" s="99"/>
      <c r="I34" s="37"/>
    </row>
    <row r="35">
      <c r="A35" s="65"/>
      <c r="B35" s="37"/>
      <c r="C35" s="106"/>
      <c r="D35" s="37"/>
      <c r="E35" s="37"/>
      <c r="F35" s="37"/>
      <c r="G35" s="37"/>
      <c r="H35" s="99"/>
      <c r="I35" s="37"/>
    </row>
    <row r="36">
      <c r="A36" s="65"/>
      <c r="B36" s="37"/>
      <c r="C36" s="37"/>
      <c r="D36" s="37"/>
      <c r="E36" s="37"/>
      <c r="F36" s="37"/>
      <c r="G36" s="37"/>
      <c r="H36" s="99"/>
      <c r="I36" s="37"/>
    </row>
    <row r="37">
      <c r="A37" s="65"/>
      <c r="B37" s="106"/>
      <c r="C37" s="37"/>
      <c r="D37" s="37"/>
      <c r="E37" s="37"/>
      <c r="F37" s="37"/>
      <c r="G37" s="37"/>
      <c r="H37" s="99"/>
      <c r="I37" s="37"/>
    </row>
    <row r="38">
      <c r="A38" s="65"/>
      <c r="B38" s="37"/>
      <c r="C38" s="37"/>
      <c r="D38" s="37"/>
      <c r="E38" s="37"/>
      <c r="F38" s="37"/>
      <c r="G38" s="37"/>
      <c r="H38" s="99"/>
      <c r="I38" s="37"/>
    </row>
    <row r="39">
      <c r="A39" s="65"/>
      <c r="B39" s="37"/>
      <c r="C39" s="37"/>
      <c r="D39" s="37"/>
      <c r="E39" s="37"/>
      <c r="F39" s="37"/>
      <c r="G39" s="37"/>
      <c r="H39" s="99"/>
      <c r="I39" s="37"/>
    </row>
    <row r="40">
      <c r="A40" s="65"/>
      <c r="B40" s="37"/>
      <c r="C40" s="37"/>
      <c r="D40" s="37"/>
      <c r="E40" s="37"/>
      <c r="F40" s="37"/>
      <c r="G40" s="37"/>
      <c r="H40" s="99"/>
      <c r="I40" s="37"/>
    </row>
    <row r="41">
      <c r="A41" s="65"/>
      <c r="B41" s="106"/>
      <c r="C41" s="37"/>
      <c r="D41" s="37"/>
      <c r="E41" s="37"/>
      <c r="F41" s="65"/>
      <c r="G41" s="37"/>
      <c r="H41" s="107"/>
      <c r="I41" s="37"/>
    </row>
    <row r="42">
      <c r="A42" s="65"/>
      <c r="B42" s="37"/>
      <c r="C42" s="37"/>
      <c r="D42" s="37"/>
      <c r="E42" s="37"/>
      <c r="F42" s="65"/>
      <c r="G42" s="37"/>
      <c r="H42" s="107"/>
      <c r="I42" s="37"/>
    </row>
    <row r="43">
      <c r="A43" s="65"/>
      <c r="B43" s="106"/>
      <c r="C43" s="37"/>
      <c r="D43" s="37"/>
      <c r="E43" s="37"/>
      <c r="F43" s="37"/>
      <c r="G43" s="37"/>
      <c r="H43" s="99"/>
      <c r="I43" s="37"/>
    </row>
    <row r="44">
      <c r="A44" s="65"/>
      <c r="B44" s="106"/>
      <c r="C44" s="37"/>
      <c r="D44" s="37"/>
      <c r="E44" s="37"/>
      <c r="F44" s="37"/>
      <c r="G44" s="37"/>
      <c r="H44" s="99"/>
      <c r="I44" s="37"/>
    </row>
    <row r="45">
      <c r="A45" s="65"/>
      <c r="B45" s="106"/>
      <c r="C45" s="37"/>
      <c r="D45" s="37"/>
      <c r="E45" s="37"/>
      <c r="F45" s="37"/>
      <c r="G45" s="37"/>
      <c r="H45" s="99"/>
      <c r="I45" s="37"/>
    </row>
    <row r="46">
      <c r="A46" s="65"/>
      <c r="B46" s="106"/>
      <c r="C46" s="37"/>
      <c r="D46" s="37"/>
      <c r="E46" s="37"/>
      <c r="F46" s="37"/>
      <c r="G46" s="37"/>
      <c r="H46" s="99"/>
      <c r="I46" s="37"/>
    </row>
    <row r="47">
      <c r="A47" s="65"/>
      <c r="B47" s="37"/>
      <c r="C47" s="37"/>
      <c r="D47" s="37"/>
      <c r="E47" s="37"/>
      <c r="F47" s="37"/>
      <c r="G47" s="37"/>
      <c r="H47" s="99"/>
      <c r="I47" s="37"/>
    </row>
    <row r="48">
      <c r="A48" s="65"/>
      <c r="B48" s="37"/>
      <c r="C48" s="37"/>
      <c r="D48" s="37"/>
      <c r="E48" s="37"/>
      <c r="F48" s="37"/>
      <c r="G48" s="37"/>
      <c r="H48" s="99"/>
      <c r="I48" s="37"/>
    </row>
    <row r="49">
      <c r="A49" s="65"/>
      <c r="B49" s="37"/>
      <c r="C49" s="37"/>
      <c r="D49" s="37"/>
      <c r="E49" s="37"/>
      <c r="F49" s="37"/>
      <c r="G49" s="37"/>
      <c r="H49" s="99"/>
      <c r="I49" s="37"/>
    </row>
    <row r="50">
      <c r="A50" s="65"/>
      <c r="B50" s="37"/>
      <c r="C50" s="37"/>
      <c r="D50" s="37"/>
      <c r="E50" s="37"/>
      <c r="F50" s="37"/>
      <c r="G50" s="37"/>
      <c r="H50" s="99"/>
      <c r="I50" s="37"/>
    </row>
    <row r="51">
      <c r="A51" s="65"/>
      <c r="B51" s="37"/>
      <c r="C51" s="37"/>
      <c r="D51" s="37"/>
      <c r="E51" s="37"/>
      <c r="F51" s="37"/>
      <c r="G51" s="37"/>
      <c r="H51" s="99"/>
      <c r="I51" s="37"/>
    </row>
    <row r="52">
      <c r="A52" s="65"/>
      <c r="B52" s="37"/>
      <c r="C52" s="106"/>
      <c r="D52" s="37"/>
      <c r="E52" s="37"/>
      <c r="F52" s="37"/>
      <c r="G52" s="37"/>
      <c r="H52" s="99"/>
      <c r="I52" s="37"/>
    </row>
    <row r="53">
      <c r="A53" s="65"/>
      <c r="B53" s="37"/>
      <c r="C53" s="37"/>
      <c r="D53" s="37"/>
      <c r="E53" s="37"/>
      <c r="F53" s="37"/>
      <c r="G53" s="37"/>
      <c r="H53" s="99"/>
      <c r="I53" s="37"/>
    </row>
    <row r="54">
      <c r="A54" s="65"/>
      <c r="B54" s="37"/>
      <c r="C54" s="106"/>
      <c r="D54" s="37"/>
      <c r="E54" s="37"/>
      <c r="F54" s="37"/>
      <c r="G54" s="37"/>
      <c r="H54" s="99"/>
      <c r="I54" s="37"/>
    </row>
    <row r="55">
      <c r="A55" s="65"/>
      <c r="B55" s="37"/>
      <c r="C55" s="106"/>
      <c r="D55" s="37"/>
      <c r="E55" s="37"/>
      <c r="F55" s="37"/>
      <c r="G55" s="37"/>
      <c r="H55" s="99"/>
      <c r="I55" s="37"/>
    </row>
    <row r="56">
      <c r="A56" s="65"/>
      <c r="B56" s="37"/>
      <c r="C56" s="106"/>
      <c r="D56" s="37"/>
      <c r="E56" s="37"/>
      <c r="F56" s="37"/>
      <c r="G56" s="37"/>
      <c r="H56" s="99"/>
      <c r="I56" s="37"/>
    </row>
    <row r="57">
      <c r="A57" s="65"/>
      <c r="B57" s="37"/>
      <c r="C57" s="106"/>
      <c r="D57" s="37"/>
      <c r="E57" s="37"/>
      <c r="F57" s="37"/>
      <c r="G57" s="37"/>
      <c r="H57" s="99"/>
      <c r="I57" s="37"/>
    </row>
    <row r="58">
      <c r="A58" s="65"/>
      <c r="B58" s="37"/>
      <c r="C58" s="106"/>
      <c r="D58" s="37"/>
      <c r="E58" s="37"/>
      <c r="F58" s="37"/>
      <c r="G58" s="37"/>
      <c r="H58" s="99"/>
      <c r="I58" s="37"/>
    </row>
    <row r="59">
      <c r="A59" s="65"/>
      <c r="B59" s="37"/>
      <c r="C59" s="106"/>
      <c r="D59" s="37"/>
      <c r="E59" s="37"/>
      <c r="F59" s="37"/>
      <c r="G59" s="37"/>
      <c r="H59" s="99"/>
      <c r="I59" s="37"/>
    </row>
    <row r="60">
      <c r="A60" s="65"/>
      <c r="B60" s="37"/>
      <c r="C60" s="106"/>
      <c r="D60" s="37"/>
      <c r="E60" s="37"/>
      <c r="F60" s="37"/>
      <c r="G60" s="37"/>
      <c r="H60" s="99"/>
      <c r="I60" s="37"/>
    </row>
    <row r="61">
      <c r="A61" s="65"/>
      <c r="B61" s="37"/>
      <c r="C61" s="106"/>
      <c r="D61" s="37"/>
      <c r="E61" s="37"/>
      <c r="F61" s="37"/>
      <c r="G61" s="37"/>
      <c r="H61" s="99"/>
      <c r="I61" s="37"/>
    </row>
    <row r="62">
      <c r="A62" s="65"/>
      <c r="B62" s="37"/>
      <c r="C62" s="106"/>
      <c r="D62" s="37"/>
      <c r="E62" s="37"/>
      <c r="F62" s="37"/>
      <c r="G62" s="37"/>
      <c r="H62" s="99"/>
      <c r="I62" s="37"/>
    </row>
    <row r="63">
      <c r="A63" s="65"/>
      <c r="B63" s="37"/>
      <c r="C63" s="106"/>
      <c r="D63" s="37"/>
      <c r="E63" s="37"/>
      <c r="F63" s="37"/>
      <c r="G63" s="37"/>
      <c r="H63" s="99"/>
      <c r="I63" s="37"/>
    </row>
    <row r="64">
      <c r="A64" s="65"/>
      <c r="B64" s="37"/>
      <c r="C64" s="106"/>
      <c r="D64" s="37"/>
      <c r="E64" s="37"/>
      <c r="F64" s="37"/>
      <c r="G64" s="37"/>
      <c r="H64" s="99"/>
      <c r="I64" s="37"/>
    </row>
    <row r="65">
      <c r="A65" s="65"/>
      <c r="B65" s="37"/>
      <c r="C65" s="106"/>
      <c r="D65" s="37"/>
      <c r="E65" s="37"/>
      <c r="F65" s="37"/>
      <c r="G65" s="37"/>
      <c r="H65" s="99"/>
      <c r="I65" s="37"/>
    </row>
    <row r="66">
      <c r="A66" s="65"/>
      <c r="B66" s="37"/>
      <c r="C66" s="106"/>
      <c r="D66" s="37"/>
      <c r="E66" s="37"/>
      <c r="F66" s="37"/>
      <c r="G66" s="37"/>
      <c r="H66" s="99"/>
      <c r="I66" s="37"/>
    </row>
    <row r="67">
      <c r="A67" s="65"/>
      <c r="B67" s="37"/>
      <c r="C67" s="106"/>
      <c r="D67" s="37"/>
      <c r="E67" s="37"/>
      <c r="F67" s="37"/>
      <c r="G67" s="37"/>
      <c r="H67" s="99"/>
      <c r="I67" s="37"/>
    </row>
    <row r="68">
      <c r="A68" s="65"/>
      <c r="B68" s="37"/>
      <c r="C68" s="106"/>
      <c r="D68" s="37"/>
      <c r="E68" s="37"/>
      <c r="F68" s="37"/>
      <c r="G68" s="37"/>
      <c r="H68" s="99"/>
      <c r="I68" s="37"/>
    </row>
    <row r="69">
      <c r="A69" s="65"/>
      <c r="B69" s="37"/>
      <c r="C69" s="106"/>
      <c r="D69" s="37"/>
      <c r="E69" s="37"/>
      <c r="F69" s="37"/>
      <c r="G69" s="37"/>
      <c r="H69" s="99"/>
      <c r="I69" s="37"/>
    </row>
    <row r="70">
      <c r="A70" s="65"/>
      <c r="B70" s="37"/>
      <c r="C70" s="106"/>
      <c r="D70" s="37"/>
      <c r="E70" s="37"/>
      <c r="F70" s="37"/>
      <c r="G70" s="37"/>
      <c r="H70" s="99"/>
      <c r="I70" s="37"/>
    </row>
    <row r="71">
      <c r="A71" s="65"/>
      <c r="B71" s="37"/>
      <c r="C71" s="106"/>
      <c r="D71" s="37"/>
      <c r="E71" s="37"/>
      <c r="F71" s="37"/>
      <c r="G71" s="37"/>
      <c r="H71" s="99"/>
      <c r="I71" s="37"/>
    </row>
    <row r="72">
      <c r="A72" s="65"/>
      <c r="B72" s="37"/>
      <c r="C72" s="106"/>
      <c r="D72" s="37"/>
      <c r="E72" s="37"/>
      <c r="F72" s="37"/>
      <c r="G72" s="37"/>
      <c r="H72" s="99"/>
      <c r="I72" s="37"/>
    </row>
    <row r="73">
      <c r="A73" s="65"/>
      <c r="B73" s="37"/>
      <c r="C73" s="106"/>
      <c r="D73" s="37"/>
      <c r="E73" s="37"/>
      <c r="F73" s="37"/>
      <c r="G73" s="37"/>
      <c r="H73" s="99"/>
      <c r="I73" s="37"/>
    </row>
    <row r="74">
      <c r="A74" s="65"/>
      <c r="B74" s="37"/>
      <c r="C74" s="106"/>
      <c r="D74" s="37"/>
      <c r="E74" s="37"/>
      <c r="F74" s="37"/>
      <c r="G74" s="37"/>
      <c r="H74" s="99"/>
      <c r="I74" s="37"/>
    </row>
    <row r="75">
      <c r="A75" s="65"/>
      <c r="B75" s="37"/>
      <c r="C75" s="106"/>
      <c r="D75" s="37"/>
      <c r="E75" s="37"/>
      <c r="F75" s="37"/>
      <c r="G75" s="37"/>
      <c r="H75" s="99"/>
      <c r="I75" s="37"/>
    </row>
    <row r="76">
      <c r="A76" s="65"/>
      <c r="B76" s="37"/>
      <c r="C76" s="106"/>
      <c r="D76" s="37"/>
      <c r="E76" s="37"/>
      <c r="F76" s="37"/>
      <c r="G76" s="37"/>
      <c r="H76" s="99"/>
      <c r="I76" s="37"/>
    </row>
    <row r="77">
      <c r="A77" s="65"/>
      <c r="B77" s="37"/>
      <c r="C77" s="106"/>
      <c r="D77" s="37"/>
      <c r="E77" s="37"/>
      <c r="F77" s="37"/>
      <c r="G77" s="37"/>
      <c r="H77" s="99"/>
      <c r="I77" s="37"/>
    </row>
    <row r="78">
      <c r="A78" s="65"/>
      <c r="B78" s="37"/>
      <c r="C78" s="106"/>
      <c r="D78" s="37"/>
      <c r="E78" s="37"/>
      <c r="F78" s="37"/>
      <c r="G78" s="37"/>
      <c r="H78" s="99"/>
      <c r="I78" s="37"/>
    </row>
    <row r="79">
      <c r="A79" s="65"/>
      <c r="B79" s="37"/>
      <c r="C79" s="106"/>
      <c r="D79" s="37"/>
      <c r="E79" s="37"/>
      <c r="F79" s="37"/>
      <c r="G79" s="37"/>
      <c r="H79" s="99"/>
      <c r="I79" s="37"/>
    </row>
    <row r="80">
      <c r="A80" s="65"/>
      <c r="B80" s="37"/>
      <c r="C80" s="106"/>
      <c r="D80" s="37"/>
      <c r="E80" s="37"/>
      <c r="F80" s="37"/>
      <c r="G80" s="37"/>
      <c r="H80" s="99"/>
      <c r="I80" s="37"/>
    </row>
    <row r="81">
      <c r="A81" s="65"/>
      <c r="B81" s="37"/>
      <c r="C81" s="106"/>
      <c r="D81" s="37"/>
      <c r="E81" s="37"/>
      <c r="F81" s="37"/>
      <c r="G81" s="37"/>
      <c r="H81" s="99"/>
      <c r="I81" s="37"/>
    </row>
    <row r="82">
      <c r="A82" s="65"/>
      <c r="B82" s="37"/>
      <c r="C82" s="106"/>
      <c r="D82" s="37"/>
      <c r="E82" s="37"/>
      <c r="F82" s="37"/>
      <c r="G82" s="37"/>
      <c r="H82" s="99"/>
      <c r="I82" s="37"/>
    </row>
    <row r="83">
      <c r="A83" s="65"/>
      <c r="B83" s="37"/>
      <c r="C83" s="106"/>
      <c r="D83" s="37"/>
      <c r="E83" s="37"/>
      <c r="F83" s="37"/>
      <c r="G83" s="37"/>
      <c r="H83" s="99"/>
      <c r="I83" s="37"/>
    </row>
    <row r="84">
      <c r="A84" s="65"/>
      <c r="B84" s="37"/>
      <c r="C84" s="106"/>
      <c r="D84" s="37"/>
      <c r="E84" s="37"/>
      <c r="F84" s="37"/>
      <c r="G84" s="37"/>
      <c r="H84" s="99"/>
      <c r="I84" s="37"/>
    </row>
    <row r="85">
      <c r="A85" s="65"/>
      <c r="B85" s="37"/>
      <c r="C85" s="106"/>
      <c r="D85" s="37"/>
      <c r="E85" s="37"/>
      <c r="F85" s="37"/>
      <c r="G85" s="37"/>
      <c r="H85" s="99"/>
      <c r="I85" s="37"/>
    </row>
    <row r="86">
      <c r="A86" s="65"/>
      <c r="B86" s="106"/>
      <c r="C86" s="37"/>
      <c r="D86" s="37"/>
      <c r="E86" s="37"/>
      <c r="F86" s="65"/>
      <c r="G86" s="37"/>
      <c r="H86" s="107"/>
      <c r="I86" s="37"/>
    </row>
    <row r="87">
      <c r="A87" s="65"/>
      <c r="B87" s="106"/>
      <c r="C87" s="37"/>
      <c r="D87" s="37"/>
      <c r="E87" s="37"/>
      <c r="F87" s="65"/>
      <c r="G87" s="37"/>
      <c r="H87" s="107"/>
      <c r="I87" s="37"/>
    </row>
    <row r="88">
      <c r="A88" s="65"/>
      <c r="B88" s="37"/>
      <c r="C88" s="37"/>
      <c r="D88" s="37"/>
      <c r="E88" s="37"/>
      <c r="F88" s="37"/>
      <c r="G88" s="37"/>
      <c r="H88" s="99"/>
      <c r="I88" s="37"/>
    </row>
    <row r="89">
      <c r="A89" s="65"/>
      <c r="B89" s="37"/>
      <c r="C89" s="106"/>
      <c r="D89" s="37"/>
      <c r="E89" s="37"/>
      <c r="F89" s="37"/>
      <c r="G89" s="37"/>
      <c r="H89" s="107"/>
      <c r="I89" s="37"/>
    </row>
    <row r="90">
      <c r="A90" s="65"/>
      <c r="B90" s="37"/>
      <c r="C90" s="37"/>
      <c r="D90" s="37"/>
      <c r="E90" s="37"/>
      <c r="F90" s="37"/>
      <c r="G90" s="37"/>
      <c r="H90" s="99"/>
      <c r="I90" s="37"/>
    </row>
    <row r="91">
      <c r="A91" s="65"/>
      <c r="B91" s="37"/>
      <c r="C91" s="37"/>
      <c r="D91" s="37"/>
      <c r="E91" s="37"/>
      <c r="F91" s="37"/>
      <c r="G91" s="37"/>
      <c r="H91" s="99"/>
      <c r="I91" s="37"/>
    </row>
    <row r="92">
      <c r="A92" s="65"/>
      <c r="B92" s="106"/>
      <c r="C92" s="37"/>
      <c r="D92" s="37"/>
      <c r="E92" s="37"/>
      <c r="F92" s="65"/>
      <c r="G92" s="37"/>
      <c r="H92" s="107"/>
      <c r="I92" s="37"/>
    </row>
    <row r="93">
      <c r="A93" s="65"/>
      <c r="B93" s="37"/>
      <c r="C93" s="37"/>
      <c r="D93" s="37"/>
      <c r="E93" s="37"/>
      <c r="F93" s="65"/>
      <c r="G93" s="37"/>
      <c r="H93" s="107"/>
      <c r="I93" s="37"/>
    </row>
    <row r="94">
      <c r="A94" s="65"/>
      <c r="B94" s="106"/>
      <c r="C94" s="37"/>
      <c r="D94" s="37"/>
      <c r="E94" s="37"/>
      <c r="F94" s="65"/>
      <c r="G94" s="37"/>
      <c r="H94" s="107"/>
      <c r="I94" s="37"/>
    </row>
    <row r="95">
      <c r="A95" s="65"/>
      <c r="B95" s="37"/>
      <c r="C95" s="106"/>
      <c r="D95" s="37"/>
      <c r="E95" s="37"/>
      <c r="F95" s="37"/>
      <c r="G95" s="37"/>
      <c r="H95" s="99"/>
      <c r="I95" s="37"/>
    </row>
    <row r="96">
      <c r="A96" s="65"/>
      <c r="B96" s="37"/>
      <c r="C96" s="106"/>
      <c r="D96" s="37"/>
      <c r="E96" s="37"/>
      <c r="F96" s="37"/>
      <c r="G96" s="37"/>
      <c r="H96" s="99"/>
      <c r="I96" s="37"/>
    </row>
    <row r="97">
      <c r="A97" s="65"/>
      <c r="B97" s="37"/>
      <c r="C97" s="106"/>
      <c r="D97" s="37"/>
      <c r="E97" s="37"/>
      <c r="F97" s="37"/>
      <c r="G97" s="37"/>
      <c r="H97" s="99"/>
      <c r="I97" s="37"/>
    </row>
    <row r="98">
      <c r="A98" s="65"/>
      <c r="B98" s="37"/>
      <c r="C98" s="106"/>
      <c r="D98" s="37"/>
      <c r="E98" s="37"/>
      <c r="F98" s="37"/>
      <c r="G98" s="37"/>
      <c r="H98" s="99"/>
      <c r="I98" s="37"/>
    </row>
    <row r="99">
      <c r="A99" s="65"/>
      <c r="B99" s="37"/>
      <c r="C99" s="106"/>
      <c r="D99" s="37"/>
      <c r="E99" s="37"/>
      <c r="F99" s="37"/>
      <c r="G99" s="37"/>
      <c r="H99" s="99"/>
      <c r="I99" s="37"/>
    </row>
    <row r="100">
      <c r="A100" s="65"/>
      <c r="B100" s="37"/>
      <c r="C100" s="37"/>
      <c r="D100" s="37"/>
      <c r="E100" s="37"/>
      <c r="F100" s="37"/>
      <c r="G100" s="37"/>
      <c r="H100" s="99"/>
      <c r="I100" s="37"/>
    </row>
    <row r="101">
      <c r="A101" s="65"/>
      <c r="B101" s="106"/>
      <c r="C101" s="37"/>
      <c r="D101" s="37"/>
      <c r="E101" s="37"/>
      <c r="F101" s="65"/>
      <c r="G101" s="37"/>
      <c r="H101" s="107"/>
      <c r="I101" s="37"/>
    </row>
    <row r="102">
      <c r="A102" s="65"/>
      <c r="B102" s="37"/>
      <c r="C102" s="106"/>
      <c r="D102" s="37"/>
      <c r="E102" s="37"/>
      <c r="F102" s="37"/>
      <c r="G102" s="37"/>
      <c r="H102" s="99"/>
      <c r="I102" s="37"/>
    </row>
    <row r="103">
      <c r="A103" s="65"/>
      <c r="B103" s="37"/>
      <c r="C103" s="106"/>
      <c r="D103" s="37"/>
      <c r="E103" s="37"/>
      <c r="F103" s="37"/>
      <c r="G103" s="37"/>
      <c r="H103" s="99"/>
      <c r="I103" s="37"/>
    </row>
    <row r="104">
      <c r="A104" s="65"/>
      <c r="B104" s="37"/>
      <c r="C104" s="106"/>
      <c r="D104" s="37"/>
      <c r="E104" s="37"/>
      <c r="F104" s="37"/>
      <c r="G104" s="37"/>
      <c r="H104" s="99"/>
      <c r="I104" s="37"/>
    </row>
    <row r="105">
      <c r="A105" s="65"/>
      <c r="B105" s="106"/>
      <c r="C105" s="37"/>
      <c r="D105" s="37"/>
      <c r="E105" s="37"/>
      <c r="F105" s="65"/>
      <c r="G105" s="37"/>
      <c r="H105" s="107"/>
      <c r="I105" s="37"/>
    </row>
    <row r="106">
      <c r="A106" s="65"/>
      <c r="B106" s="37"/>
      <c r="C106" s="106"/>
      <c r="D106" s="37"/>
      <c r="E106" s="37"/>
      <c r="F106" s="37"/>
      <c r="G106" s="37"/>
      <c r="H106" s="99"/>
      <c r="I106" s="37"/>
    </row>
    <row r="107">
      <c r="A107" s="65"/>
      <c r="B107" s="106"/>
      <c r="C107" s="37"/>
      <c r="D107" s="37"/>
      <c r="E107" s="37"/>
      <c r="F107" s="65"/>
      <c r="G107" s="37"/>
      <c r="H107" s="107"/>
      <c r="I107" s="37"/>
    </row>
    <row r="108">
      <c r="A108" s="65"/>
      <c r="B108" s="106"/>
      <c r="C108" s="37"/>
      <c r="D108" s="37"/>
      <c r="E108" s="37"/>
      <c r="F108" s="37"/>
      <c r="G108" s="37"/>
      <c r="H108" s="99"/>
      <c r="I108" s="37"/>
    </row>
    <row r="109">
      <c r="A109" s="65"/>
      <c r="B109" s="106"/>
      <c r="C109" s="37"/>
      <c r="D109" s="37"/>
      <c r="E109" s="37"/>
      <c r="F109" s="65"/>
      <c r="G109" s="37"/>
      <c r="H109" s="107"/>
      <c r="I109" s="37"/>
    </row>
    <row r="110">
      <c r="A110" s="65"/>
      <c r="B110" s="106"/>
      <c r="C110" s="37"/>
      <c r="D110" s="37"/>
      <c r="E110" s="37"/>
      <c r="F110" s="65"/>
      <c r="G110" s="37"/>
      <c r="H110" s="107"/>
      <c r="I110" s="37"/>
    </row>
    <row r="111">
      <c r="A111" s="65"/>
      <c r="B111" s="106"/>
      <c r="C111" s="37"/>
      <c r="D111" s="37"/>
      <c r="E111" s="37"/>
      <c r="F111" s="65"/>
      <c r="G111" s="37"/>
      <c r="H111" s="107"/>
      <c r="I111" s="37"/>
    </row>
    <row r="112">
      <c r="A112" s="37"/>
      <c r="B112" s="37"/>
      <c r="C112" s="106"/>
      <c r="D112" s="37"/>
      <c r="E112" s="37"/>
      <c r="F112" s="37"/>
      <c r="G112" s="37"/>
      <c r="H112" s="99"/>
      <c r="I112" s="37"/>
    </row>
    <row r="113">
      <c r="A113" s="65"/>
      <c r="B113" s="37"/>
      <c r="C113" s="37"/>
      <c r="D113" s="37"/>
      <c r="E113" s="37"/>
      <c r="F113" s="65"/>
      <c r="G113" s="37"/>
      <c r="H113" s="107"/>
      <c r="I113" s="37"/>
    </row>
    <row r="114">
      <c r="A114" s="65"/>
      <c r="B114" s="37"/>
      <c r="C114" s="37"/>
      <c r="D114" s="37"/>
      <c r="E114" s="37"/>
      <c r="F114" s="65"/>
      <c r="G114" s="37"/>
      <c r="H114" s="107"/>
      <c r="I114" s="37"/>
    </row>
    <row r="115">
      <c r="A115" s="65"/>
      <c r="B115" s="106"/>
      <c r="C115" s="37"/>
      <c r="D115" s="37"/>
      <c r="E115" s="37"/>
      <c r="F115" s="65"/>
      <c r="G115" s="37"/>
      <c r="H115" s="107"/>
      <c r="I115" s="37"/>
    </row>
    <row r="116">
      <c r="A116" s="65"/>
      <c r="B116" s="37"/>
      <c r="C116" s="106"/>
      <c r="D116" s="37"/>
      <c r="E116" s="37"/>
      <c r="F116" s="37"/>
      <c r="G116" s="37"/>
      <c r="H116" s="99"/>
      <c r="I116" s="37"/>
    </row>
    <row r="117">
      <c r="A117" s="65"/>
      <c r="B117" s="37"/>
      <c r="C117" s="106"/>
      <c r="D117" s="37"/>
      <c r="E117" s="37"/>
      <c r="F117" s="37"/>
      <c r="G117" s="37"/>
      <c r="H117" s="99"/>
      <c r="I117" s="37"/>
    </row>
    <row r="118">
      <c r="A118" s="65"/>
      <c r="B118" s="106"/>
      <c r="C118" s="37"/>
      <c r="D118" s="37"/>
      <c r="E118" s="37"/>
      <c r="F118" s="65"/>
      <c r="G118" s="37"/>
      <c r="H118" s="107"/>
      <c r="I118" s="65"/>
    </row>
    <row r="119">
      <c r="A119" s="65"/>
      <c r="B119" s="106"/>
      <c r="C119" s="37"/>
      <c r="D119" s="37"/>
      <c r="E119" s="37"/>
      <c r="F119" s="65"/>
      <c r="G119" s="37"/>
      <c r="H119" s="107"/>
      <c r="I119" s="65"/>
    </row>
    <row r="120">
      <c r="A120" s="65"/>
      <c r="B120" s="106"/>
      <c r="C120" s="37"/>
      <c r="D120" s="37"/>
      <c r="E120" s="37"/>
      <c r="F120" s="65"/>
      <c r="G120" s="37"/>
      <c r="H120" s="107"/>
      <c r="I120" s="37"/>
    </row>
    <row r="121">
      <c r="A121" s="65"/>
      <c r="B121" s="37"/>
      <c r="C121" s="37"/>
      <c r="D121" s="37"/>
      <c r="E121" s="37"/>
      <c r="F121" s="37"/>
      <c r="G121" s="37"/>
      <c r="H121" s="99"/>
      <c r="I121" s="37"/>
    </row>
    <row r="122">
      <c r="A122" s="65"/>
      <c r="B122" s="106"/>
      <c r="C122" s="37"/>
      <c r="D122" s="37"/>
      <c r="E122" s="37"/>
      <c r="F122" s="65"/>
      <c r="G122" s="37"/>
      <c r="H122" s="107"/>
      <c r="I122" s="37"/>
    </row>
    <row r="123">
      <c r="A123" s="65"/>
      <c r="B123" s="106"/>
      <c r="C123" s="37"/>
      <c r="D123" s="37"/>
      <c r="E123" s="37"/>
      <c r="F123" s="37"/>
      <c r="G123" s="37"/>
      <c r="H123" s="99"/>
      <c r="I123" s="37"/>
    </row>
    <row r="124">
      <c r="A124" s="65"/>
      <c r="B124" s="106"/>
      <c r="C124" s="37"/>
      <c r="D124" s="37"/>
      <c r="E124" s="37"/>
      <c r="F124" s="65"/>
      <c r="G124" s="37"/>
      <c r="H124" s="107"/>
      <c r="I124" s="37"/>
    </row>
    <row r="125">
      <c r="A125" s="65"/>
      <c r="B125" s="37"/>
      <c r="C125" s="106"/>
      <c r="D125" s="37"/>
      <c r="E125" s="37"/>
      <c r="F125" s="37"/>
      <c r="G125" s="37"/>
      <c r="H125" s="99"/>
      <c r="I125" s="37"/>
    </row>
    <row r="126">
      <c r="A126" s="65"/>
      <c r="B126" s="106"/>
      <c r="C126" s="37"/>
      <c r="D126" s="37"/>
      <c r="E126" s="37"/>
      <c r="F126" s="65"/>
      <c r="G126" s="37"/>
      <c r="H126" s="107"/>
      <c r="I126" s="37"/>
    </row>
    <row r="127">
      <c r="A127" s="65"/>
      <c r="B127" s="37"/>
      <c r="C127" s="106"/>
      <c r="D127" s="37"/>
      <c r="E127" s="37"/>
      <c r="F127" s="37"/>
      <c r="G127" s="37"/>
      <c r="H127" s="99"/>
      <c r="I127" s="37"/>
    </row>
    <row r="128">
      <c r="A128" s="65"/>
      <c r="B128" s="37"/>
      <c r="C128" s="106"/>
      <c r="H128" s="108"/>
    </row>
    <row r="129">
      <c r="A129" s="65"/>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255</v>
      </c>
    </row>
    <row r="2">
      <c r="B2" s="14" t="s">
        <v>256</v>
      </c>
      <c r="C2" s="77" t="s">
        <v>257</v>
      </c>
      <c r="D2" s="14" t="s">
        <v>256</v>
      </c>
    </row>
    <row r="3">
      <c r="B3" s="101">
        <v>100.0</v>
      </c>
      <c r="C3" s="77" t="s">
        <v>258</v>
      </c>
      <c r="D3" s="98">
        <f>(B3*(1/value(VLOOKUP(B2,MoneyRates!A:B,2,FALSE))))*value(VLOOKUP(D2,MoneyRates!A:B,2,FALSE))</f>
        <v>100</v>
      </c>
    </row>
    <row r="5">
      <c r="A5" s="38" t="s">
        <v>259</v>
      </c>
    </row>
    <row r="6">
      <c r="A6" s="14" t="s">
        <v>260</v>
      </c>
      <c r="B6" s="101">
        <v>100000.0</v>
      </c>
    </row>
    <row r="7">
      <c r="A7" s="14" t="s">
        <v>261</v>
      </c>
      <c r="B7" s="101">
        <v>0.0</v>
      </c>
    </row>
    <row r="8">
      <c r="A8" s="14" t="s">
        <v>262</v>
      </c>
      <c r="B8" s="101">
        <v>0.0</v>
      </c>
    </row>
    <row r="9">
      <c r="A9" s="14" t="s">
        <v>263</v>
      </c>
      <c r="B9" s="101">
        <v>0.0</v>
      </c>
    </row>
    <row r="10">
      <c r="A10" s="14" t="s">
        <v>264</v>
      </c>
      <c r="B10" s="101">
        <v>0.0</v>
      </c>
    </row>
    <row r="11">
      <c r="A11" s="14" t="s">
        <v>265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Corrupt Guard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Blood Elf
Half Race: Halfling</v>
      </c>
      <c r="C9" s="2"/>
      <c r="D9" s="13" t="str">
        <f>"🏹 Class: "&amp;IF(Leveler!I2,Leveler!K1&amp;CHAR(10)&amp;"Half Class: "&amp;Leveler!K2,Leveler!K1)</f>
        <v>🏹 Class: Monk
Half Class: Knight</v>
      </c>
      <c r="E9" s="2"/>
    </row>
    <row r="10">
      <c r="B10" s="11" t="str">
        <f>"⚔️ Attack: "&amp;Leveler!B18+F12</f>
        <v>⚔️ Attack: 219</v>
      </c>
      <c r="C10" s="11" t="str">
        <f>"🛡️ Defense: "&amp;Leveler!C18+G12</f>
        <v>🛡️ Defense: 175219</v>
      </c>
      <c r="D10" s="11" t="str">
        <f>"🎯 Accuracy: "&amp;Leveler!D18+H12</f>
        <v>🎯 Accuracy: 219</v>
      </c>
      <c r="E10" s="11" t="str">
        <f>"😇[P] Charisma: "&amp;Leveler!E20+I12</f>
        <v>😇[P] Charisma: 20</v>
      </c>
    </row>
    <row r="11">
      <c r="B11" s="19" t="str">
        <f>"🤯[P] Wisdom: "&amp;Leveler!F20+F14</f>
        <v>🤯[P] Wisdom: 8</v>
      </c>
      <c r="C11" s="11" t="str">
        <f>"❤️[P] Constitution: "&amp;Leveler!G20+G14</f>
        <v>❤️[P] Constitution: 75</v>
      </c>
      <c r="D11" s="11" t="str">
        <f>"🏃‍♀️[P] Evasion: "&amp;Leveler!H20+H14</f>
        <v>🏃‍♀️[P] Evasion: 5</v>
      </c>
      <c r="E11" s="11" t="str">
        <f>"😈[P] Intimidation: "&amp;Leveler!I20+I14</f>
        <v>😈[P] Intimidation: 20</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Cancer</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Charisma, +3 Wisdom
Has a 20% chance of any attack missing them</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 Charisma 
Starts with the Ability “Spira Guard”
Enhanced Class Bonuses: Rank 9 in all elements (excluding Acoustic)
20% chance of not having to battle a non corrupt guard. Unaffected by bonuses.
X2 to Spell and Weapon Damage
Dark Immune
+10 Intimidation
If you attack with a weapon that deals, Dark, Chaos, or Voodoo damage you can add mobility to that attack roll.</v>
      </c>
      <c r="C18" s="6"/>
      <c r="D18" s="6"/>
      <c r="E18" s="2"/>
    </row>
    <row r="19">
      <c r="B19" s="13" t="str">
        <f>Character!B20</f>
        <v>Other Bonuses: </v>
      </c>
      <c r="C19" s="6"/>
      <c r="D19" s="6"/>
      <c r="E19" s="2"/>
    </row>
    <row r="20">
      <c r="B20" s="13" t="str">
        <f>Character!B21</f>
        <v>Resistances: Light 75,000
Celestial 75,000
Vulnerabilities: </v>
      </c>
      <c r="C20" s="6"/>
      <c r="D20" s="6"/>
      <c r="E20" s="2"/>
    </row>
    <row r="21">
      <c r="B21" s="110" t="s">
        <v>266</v>
      </c>
      <c r="C21" s="6"/>
      <c r="D21" s="6"/>
      <c r="E21" s="2"/>
    </row>
    <row r="22">
      <c r="B22" s="111"/>
      <c r="E22" s="35"/>
    </row>
    <row r="23">
      <c r="B23" s="75"/>
      <c r="E23" s="35"/>
    </row>
    <row r="24">
      <c r="B24" s="75"/>
      <c r="E24" s="35"/>
    </row>
    <row r="25">
      <c r="B25" s="75"/>
      <c r="E25" s="35"/>
    </row>
    <row r="26">
      <c r="B26" s="75"/>
      <c r="E26" s="35"/>
    </row>
    <row r="27">
      <c r="B27" s="75"/>
      <c r="E27" s="35"/>
    </row>
    <row r="28">
      <c r="B28" s="75"/>
      <c r="E28" s="35"/>
    </row>
    <row r="29">
      <c r="B29" s="75"/>
      <c r="E29" s="35"/>
    </row>
    <row r="30">
      <c r="B30" s="75"/>
      <c r="E30" s="35"/>
    </row>
    <row r="31">
      <c r="B31" s="75"/>
      <c r="E31" s="35"/>
    </row>
    <row r="32">
      <c r="B32" s="75"/>
      <c r="E32" s="35"/>
    </row>
    <row r="33">
      <c r="B33" s="75"/>
      <c r="E33" s="35"/>
    </row>
    <row r="34">
      <c r="B34" s="75"/>
      <c r="E34" s="35"/>
    </row>
    <row r="35">
      <c r="B35" s="75"/>
      <c r="E35" s="35"/>
    </row>
    <row r="36">
      <c r="B36" s="75"/>
      <c r="E36" s="35"/>
    </row>
    <row r="37">
      <c r="B37" s="75"/>
      <c r="E37" s="35"/>
    </row>
    <row r="38">
      <c r="B38" s="75"/>
      <c r="E38" s="35"/>
    </row>
    <row r="39">
      <c r="B39" s="75"/>
      <c r="E39" s="35"/>
    </row>
    <row r="40">
      <c r="B40" s="75"/>
      <c r="E40" s="35"/>
    </row>
    <row r="41">
      <c r="B41" s="75"/>
      <c r="E41" s="35"/>
    </row>
    <row r="42">
      <c r="B42" s="75"/>
      <c r="E42" s="35"/>
    </row>
    <row r="43">
      <c r="B43" s="75"/>
      <c r="E43" s="35"/>
    </row>
    <row r="44">
      <c r="B44" s="75"/>
      <c r="E44" s="35"/>
    </row>
    <row r="45">
      <c r="B45" s="75"/>
      <c r="E45" s="35"/>
    </row>
    <row r="46">
      <c r="B46" s="75"/>
      <c r="E46" s="35"/>
    </row>
    <row r="47">
      <c r="B47" s="75"/>
      <c r="E47" s="35"/>
    </row>
    <row r="48">
      <c r="B48" s="75"/>
      <c r="E48" s="35"/>
    </row>
    <row r="49">
      <c r="B49" s="75"/>
      <c r="E49" s="35"/>
    </row>
    <row r="50">
      <c r="B50" s="75"/>
      <c r="E50" s="35"/>
    </row>
    <row r="51">
      <c r="B51" s="75"/>
      <c r="E51" s="35"/>
    </row>
    <row r="52">
      <c r="B52" s="75"/>
      <c r="E52" s="35"/>
    </row>
    <row r="53">
      <c r="B53" s="75"/>
      <c r="E53" s="35"/>
    </row>
    <row r="54">
      <c r="B54" s="75"/>
      <c r="E54" s="35"/>
    </row>
    <row r="55">
      <c r="B55" s="7"/>
      <c r="C55" s="89"/>
      <c r="D55" s="89"/>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267</v>
      </c>
      <c r="I1" s="92"/>
      <c r="J1" s="92"/>
    </row>
    <row r="2">
      <c r="A2" s="97"/>
      <c r="B2" s="97"/>
      <c r="C2" s="92"/>
      <c r="D2" s="92"/>
      <c r="E2" s="92"/>
      <c r="F2" s="92"/>
      <c r="G2" s="92"/>
      <c r="H2" s="92"/>
      <c r="I2" s="92"/>
      <c r="J2" s="92"/>
    </row>
    <row r="3">
      <c r="A3" s="97" t="s">
        <v>24</v>
      </c>
      <c r="B3" s="97" t="s">
        <v>192</v>
      </c>
      <c r="C3" s="92" t="s">
        <v>223</v>
      </c>
      <c r="D3" s="92" t="s">
        <v>224</v>
      </c>
      <c r="E3" s="92" t="s">
        <v>225</v>
      </c>
      <c r="F3" s="92" t="s">
        <v>26</v>
      </c>
      <c r="G3" s="92" t="s">
        <v>226</v>
      </c>
      <c r="H3" s="92" t="s">
        <v>190</v>
      </c>
      <c r="I3" s="92"/>
      <c r="J3" s="92"/>
    </row>
    <row r="4">
      <c r="A4" s="14" t="s">
        <v>228</v>
      </c>
      <c r="B4" s="16">
        <f>IFNA(VLOOKUP($A4,Spells!$A$2:$I1002,MATCH(B$3,Spells!$A$1:$I$1,0),FALSE))</f>
        <v>1</v>
      </c>
      <c r="C4" s="16">
        <f>IFNA(VLOOKUP($A4,Spells!$A$2:$I1002,MATCH(C$3,Spells!$A$1:$I$1,0),FALSE))</f>
        <v>0</v>
      </c>
      <c r="D4" s="16" t="str">
        <f>IFNA(VLOOKUP($A4,Spells!$A$2:$I1002,MATCH(D$3,Spells!$A$1:$I$1,0),FALSE))</f>
        <v/>
      </c>
      <c r="E4" s="16" t="str">
        <f>IFNA(VLOOKUP($A4,Spells!$A$2:$I1002,MATCH(E$3,Spells!$A$1:$I$1,0),FALSE))</f>
        <v>Arrest a player or npc Using your mobility bonus, they cannot perform their turn order while arrested and they are removed from the battle. </v>
      </c>
      <c r="F4" s="16" t="str">
        <f>IFNA(VLOOKUP($A4,Spells!$A$2:$I1002,MATCH(F$3,Spells!$A$1:$I$1,0),FALSE))</f>
        <v>Natural/Hit or Miss.</v>
      </c>
      <c r="G4" s="16">
        <f>IFNA(VLOOKUP($A4,Spells!$A$2:$I1002,MATCH(G$3,Spells!$A$1:$I$1,0),FALSE))</f>
        <v>1</v>
      </c>
      <c r="H4" s="16" t="str">
        <f>IFNA(VLOOKUP($A4,Spells!$A$2:$I1002,MATCH(H$3,Spells!$A$1:$I$1,0),FALSE))</f>
        <v>Physical</v>
      </c>
    </row>
    <row r="5">
      <c r="A5" s="14" t="s">
        <v>229</v>
      </c>
      <c r="B5" s="16">
        <f>IFNA(VLOOKUP($A5,Spells!$A$2:$I1002,MATCH(B$3,Spells!$A$1:$I$1,0),FALSE))</f>
        <v>1</v>
      </c>
      <c r="C5" s="16">
        <f>IFNA(VLOOKUP($A5,Spells!$A$2:$I1002,MATCH(C$3,Spells!$A$1:$I$1,0),FALSE))</f>
        <v>0</v>
      </c>
      <c r="D5" s="16" t="str">
        <f>IFNA(VLOOKUP($A5,Spells!$A$2:$I1002,MATCH(D$3,Spells!$A$1:$I$1,0),FALSE))</f>
        <v/>
      </c>
      <c r="E5" s="16" t="str">
        <f>IFNA(VLOOKUP($A5,Spells!$A$2:$I1002,MATCH(E$3,Spells!$A$1:$I$1,0),FALSE))</f>
        <v>Call 1 guard to battle. The guard is 1 rank lower then you. Can only be used once per battle.</v>
      </c>
      <c r="F5" s="16" t="str">
        <f>IFNA(VLOOKUP($A5,Spells!$A$2:$I1002,MATCH(F$3,Spells!$A$1:$I$1,0),FALSE))</f>
        <v>Natural/Fail or Succeed</v>
      </c>
      <c r="G5" s="16" t="str">
        <f>IFNA(VLOOKUP($A5,Spells!$A$2:$I1002,MATCH(G$3,Spells!$A$1:$I$1,0),FALSE))</f>
        <v>Self</v>
      </c>
      <c r="H5" s="16" t="str">
        <f>IFNA(VLOOKUP($A5,Spells!$A$2:$I1002,MATCH(H$3,Spells!$A$1:$I$1,0),FALSE))</f>
        <v>Physical</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tr">
        <f>IFERROR(__xludf.DUMMYFUNCTION("IMPORTRANGE(""https://docs.google.com/spreadsheets/d/""&amp;Config!B1,""Achievments!A:E"")"),"Name")</f>
        <v>Name</v>
      </c>
      <c r="B1" s="92" t="str">
        <f>IFERROR(__xludf.DUMMYFUNCTION("""COMPUTED_VALUE"""),"Requirement")</f>
        <v>Requirement</v>
      </c>
      <c r="C1" s="92" t="str">
        <f>IFERROR(__xludf.DUMMYFUNCTION("""COMPUTED_VALUE"""),"Ability")</f>
        <v>Ability</v>
      </c>
      <c r="D1" s="92" t="str">
        <f>IFERROR(__xludf.DUMMYFUNCTION("""COMPUTED_VALUE"""),"Rarity")</f>
        <v>Rarity</v>
      </c>
      <c r="E1" s="92" t="str">
        <f>IFERROR(__xludf.DUMMYFUNCTION("""COMPUTED_VALUE"""),"Value")</f>
        <v>Value</v>
      </c>
      <c r="F1" s="38" t="s">
        <v>268</v>
      </c>
      <c r="G1" s="38" t="s">
        <v>269</v>
      </c>
      <c r="H1" s="92"/>
      <c r="I1" s="92"/>
      <c r="J1" s="92"/>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
        <v>270</v>
      </c>
      <c r="B1" s="92" t="s">
        <v>271</v>
      </c>
      <c r="C1" s="92" t="s">
        <v>272</v>
      </c>
      <c r="D1" s="92" t="s">
        <v>87</v>
      </c>
      <c r="E1" s="92" t="s">
        <v>273</v>
      </c>
      <c r="F1" s="38" t="s">
        <v>268</v>
      </c>
      <c r="G1" s="39" t="s">
        <v>274</v>
      </c>
      <c r="H1" s="39" t="s">
        <v>275</v>
      </c>
      <c r="I1" s="39" t="s">
        <v>269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276</v>
      </c>
      <c r="B1" s="38" t="s">
        <v>277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278</v>
      </c>
      <c r="B1" s="14" t="s">
        <v>279</v>
      </c>
    </row>
    <row r="2">
      <c r="A2" s="14" t="s">
        <v>280</v>
      </c>
      <c r="B2" s="14" t="s">
        <v>281</v>
      </c>
    </row>
    <row r="3">
      <c r="A3" s="14" t="s">
        <v>282</v>
      </c>
      <c r="B3" s="14" t="s">
        <v>283</v>
      </c>
    </row>
    <row r="4">
      <c r="A4" s="14" t="s">
        <v>284</v>
      </c>
      <c r="B4" s="14" t="s">
        <v>285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286</v>
      </c>
      <c r="B1" s="16" t="s">
        <v>192</v>
      </c>
      <c r="C1" s="16" t="s">
        <v>287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2" t="str">
        <f>IFERROR(__xludf.DUMMYFUNCTION("IMPORTRANGE(""https://docs.google.com/spreadsheets/d/""&amp;Config!B1,""Factions!A:AX"")"),"Faction")</f>
        <v>Faction</v>
      </c>
      <c r="B1" s="92" t="str">
        <f>IFERROR(__xludf.DUMMYFUNCTION("""COMPUTED_VALUE"""),"Faction Description")</f>
        <v>Faction Description</v>
      </c>
      <c r="C1" s="92" t="str">
        <f>IFERROR(__xludf.DUMMYFUNCTION("""COMPUTED_VALUE"""),"Faction Ability 1")</f>
        <v>Faction Ability 1</v>
      </c>
      <c r="D1" s="92" t="str">
        <f>IFERROR(__xludf.DUMMYFUNCTION("""COMPUTED_VALUE"""),"Ability Description 1")</f>
        <v>Ability Description 1</v>
      </c>
      <c r="E1" s="92"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IFERROR(__xludf.DUMMYFUNCTION("IMPORTRANGE(""https://docs.google.com/spreadsheets/d/""&amp;Config!B1,""Curses!A:AX"")"),"Name")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IFERROR(__xludf.DUMMYFUNCTION("IMPORTRANGE(""https://docs.google.com/spreadsheets/d/""&amp;Config!B1,""Diseases!A:AX"")"),"Name")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49" t="s">
        <v>25</v>
      </c>
      <c r="C1" s="14" t="s">
        <v>26</v>
      </c>
      <c r="D1" s="49" t="s">
        <v>234</v>
      </c>
      <c r="E1" s="49" t="s">
        <v>235</v>
      </c>
      <c r="F1" s="49" t="s">
        <v>27</v>
      </c>
      <c r="G1" s="49" t="s">
        <v>236</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