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<sst xmlns="http://schemas.openxmlformats.org/spreadsheetml/2006/main" count="429" uniqueCount="291">
  <si>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</si>
  <si>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</si>
  <si>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</si>
  <si>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</si>
  <si>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</si>
  <si>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</si>
  <si>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</si>
  <si>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</si>
  <si>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</si>
  <si>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</si>
  <si>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</si>
  <si>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</si>
  <si>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</si>
  <si>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</si>
  <si>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</si>
  <si>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</si>
  <si>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</si>
  <si>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</si>
  <si>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</si>
  <si>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</si>
  <si>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</si>
  <si>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</si>
  <si>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</si>
  <si>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</si>
  <si>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</si>
  <si>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</si>
  <si>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</si>
  <si>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</si>
  <si>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</si>
  <si>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Weaponized Bamboo Hat</t>
  </si>
  <si>
    <t>Head</t>
  </si>
  <si>
    <t>📿 (1) Neck:</t>
  </si>
  <si>
    <t>Neck</t>
  </si>
  <si>
    <t>📿 (2) Neck:</t>
  </si>
  <si>
    <t>📿 (3) Neck:</t>
  </si>
  <si>
    <t>🎒(1) Shoulders</t>
  </si>
  <si>
    <t>Shoulders</t>
  </si>
  <si>
    <t>🧥 (1) Torso:</t>
  </si>
  <si>
    <t>Bamboo Chestplate</t>
  </si>
  <si>
    <t>Torso</t>
  </si>
  <si>
    <t>💪(1) Arms</t>
  </si>
  <si>
    <t>Bamboo Vambraces</t>
  </si>
  <si>
    <t>Arms</t>
  </si>
  <si>
    <t>🖐 (1) L. Hand:</t>
  </si>
  <si>
    <t>Strengthened Bamboo Sword</t>
  </si>
  <si>
    <t>Hand</t>
  </si>
  <si>
    <t>🖐 (1) R. Hand:</t>
  </si>
  <si>
    <t>Wand of Multi-Color</t>
  </si>
  <si>
    <t>💍 (1) Fingers:</t>
  </si>
  <si>
    <t>Ring o’ Luck and Nature</t>
  </si>
  <si>
    <t>Ring</t>
  </si>
  <si>
    <t>💍 (2) Fingers:</t>
  </si>
  <si>
    <t>💍 (3) Fingers:</t>
  </si>
  <si>
    <t>💍 (4) Fingers:</t>
  </si>
  <si>
    <t>💍 (5) Fingers:</t>
  </si>
  <si>
    <t>💍 (6) Fingers:</t>
  </si>
  <si>
    <t>💍 (7) Fingers:</t>
  </si>
  <si>
    <t>💍 (8) Fingers:</t>
  </si>
  <si>
    <t>💍 (9) Fingers:</t>
  </si>
  <si>
    <t>💍 (10) Fingers:</t>
  </si>
  <si>
    <t>👖 (1) Legs:</t>
  </si>
  <si>
    <t>Bamboo Greaves</t>
  </si>
  <si>
    <t>Legs</t>
  </si>
  <si>
    <t>🥾 (1) Feet:</t>
  </si>
  <si>
    <t>Bamboo Sandles</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</si>
  <si>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</si>
  <si>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</si>
  <si>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</si>
  <si>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</si>
  <si>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</si>
  <si>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</si>
  <si>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</si>
  <si>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</si>
  <si>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</si>
  <si>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</si>
  <si>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</si>
  <si>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</si>
  <si>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</si>
  <si>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</si>
  <si>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</si>
  <si>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</si>
  <si>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</si>
  <si>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</si>
  <si>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</si>
  <si>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</si>
  <si>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</si>
  <si>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</si>
  <si>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</si>
  <si>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</si>
  <si>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</si>
  <si>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</si>
  <si>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</si>
  <si>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</si>
  <si>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Poultrian</t>
  </si>
  <si>
    <t>Half Class</t>
  </si>
  <si>
    <t>Class:</t>
  </si>
  <si>
    <t>Monk</t>
  </si>
  <si>
    <t>Half Race:</t>
  </si>
  <si>
    <t>Half Class:</t>
  </si>
  <si>
    <t>Druid</t>
  </si>
  <si>
    <t>Fire</t>
  </si>
  <si>
    <t>Enhanced Class:</t>
  </si>
  <si>
    <t>Grand Abbot</t>
  </si>
  <si>
    <t>Water</t>
  </si>
  <si>
    <t>Starting Town:</t>
  </si>
  <si>
    <t>Spell Slots Number:</t>
  </si>
  <si>
    <t>Enhanced Half Class:</t>
  </si>
  <si>
    <t>High Druid</t>
  </si>
  <si>
    <t>Storm</t>
  </si>
  <si>
    <t>HP</t>
  </si>
  <si>
    <t>Character Name:</t>
  </si>
  <si>
    <t>Experienced Breeder (Change Name)</t>
  </si>
  <si>
    <t>Select Element1:</t>
  </si>
  <si>
    <t>Earth</t>
  </si>
  <si>
    <t>SP</t>
  </si>
  <si>
    <t>Sex:</t>
  </si>
  <si>
    <t>Astrological Sign:</t>
  </si>
  <si>
    <t>Gemini</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</si>
  <si>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</si>
  <si>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</si>
  <si>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</si>
  <si>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</si>
  <si>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</si>
  <si>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</si>
  <si>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</si>
  <si>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</si>
  <si>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</si>
  <si>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</si>
  <si>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</si>
  <si>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</si>
  <si>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</si>
  <si>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</si>
  <si>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</si>
  <si>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</si>
  <si>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</si>
  <si>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</si>
  <si>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</si>
  <si>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</si>
  <si>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</si>
  <si>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</si>
  <si>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</si>
  <si>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"Experienced Breeder (Change Name)"</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</si>
  <si>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</si>
  <si>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</si>
  <si>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</si>
  <si>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</si>
  <si>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</si>
  <si>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</si>
  <si>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</si>
  <si>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</si>
  <si>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</si>
  <si>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</si>
  <si>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</si>
  <si>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</si>
  <si>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</si>
  <si>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</si>
  <si>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</si>
  <si>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</si>
  <si>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</si>
  <si>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God's Quiver</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</si>
  <si>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</si>
  <si>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</si>
  <si>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</si>
  <si>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</si>
  <si>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</si>
  <si>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</si>
  <si>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</si>
  <si>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</si>
  <si>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</si>
  <si>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</si>
  <si>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</si>
  <si>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</si>
  <si>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</si>
  <si>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</si>
  <si>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</si>
  <si>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</si>
  <si>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</si>
  <si>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</si>
  <si>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</si>
  <si>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</si>
  <si>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</si>
  <si>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</si>
  <si>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</si>
  <si>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</si>
  <si>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</si>
  <si>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</si>
  <si>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</si>
  <si>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</si>
  <si>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</si>
  <si>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</si>
  <si>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</si>
  <si>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</si>
  <si>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</si>
  <si>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</si>
  <si>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</si>
  <si>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</si>
  <si>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</si>
  <si>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</si>
  <si>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</si>
  <si>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</si>
  <si>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</si>
  <si>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</si>
  <si>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</si>
  <si>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</si>
  <si>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</si>
  <si>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</si>
  <si>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</si>
  <si>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</si>
  <si>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</si>
  <si>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</si>
  <si>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</si>
  <si>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</si>
  <si>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</si>
  <si>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</si>
  <si>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</si>
  <si>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</si>
  <si>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</si>
  <si>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</si>
  <si>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</si>
  <si>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</si>
  <si>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</si>
  <si>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</si>
  <si>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</si>
  <si>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</si>
  <si>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</si>
  <si>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</si>
  <si>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Creature Control</t>
  </si>
  <si>
    <t>Enrapture</t>
  </si>
  <si>
    <t>Entangle</t>
  </si>
  <si>
    <t>The World Tree</t>
  </si>
  <si>
    <t>Celestial Wave</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</si>
  <si>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</si>
  <si>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</si>
  <si>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</si>
  <si>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</si>
  <si>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</si>
  <si>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</si>
  <si>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</si>
  <si>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</si>
  <si>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</si>
  <si>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</si>
  <si>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</si>
  <si>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</si>
  <si>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</si>
  <si>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</si>
  <si>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</si>
  <si>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</si>
  <si>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Knife</t>
  </si>
  <si>
    <t>DEF: +1000, Nature DEF: +1000 +10,000 damage when thrown, this item will return to you after thrown.</t>
  </si>
  <si>
    <t>Bamboo Pauldrons</t>
  </si>
  <si>
    <t>DEF: +1000, Nature DEF: +1000</t>
  </si>
  <si>
    <t>DMG: +1000, Nature DMG: +1000 +X4 damage for this weapon if the battle is in a Forest or Jungle.</t>
  </si>
  <si>
    <t>The Stick of the Panda</t>
  </si>
  <si>
    <t>Club</t>
  </si>
  <si>
    <t>DMG: +10000, Nature DMG: +10000 +When you find an herb you get 2 of the herb found instead of 1. Cannot be duplicated.</t>
  </si>
  <si>
    <t>Wand</t>
  </si>
  <si>
    <t xml:space="preserve"> +All types of spells are reduced by half sp. +Cannot be duplicated. +Can only have 1 equipped.</t>
  </si>
  <si>
    <t xml:space="preserve"> +Immunity to nature damage, +increases the roll of a d20 by 2. Can only wear one</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</si>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</sst>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Experienced Breeder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Poultrian</v>
      </c>
      <c r="C10" s="2"/>
      <c r="D10" s="13" t="str">
        <f>"🏹 Class: "&amp;IF(Leveler!I2,Leveler!K1&amp;CHAR(10)&amp;"Half Class: "&amp;Leveler!K2,Leveler!K1)</f>
        <v>🏹 Class: Monk
Half Class: Druid</v>
      </c>
      <c r="E10" s="2"/>
      <c r="F10" s="14" t="s">
        <v>0</v>
      </c>
      <c r="G10" s="14" t="s">
        <v>1</v>
      </c>
      <c r="H10" s="14" t="s">
        <v>2</v>
      </c>
      <c r="I10" s="14" t="s">
        <v>3</v>
      </c>
      <c r="J10" s="14" t="s">
        <v>4</v>
      </c>
      <c r="L10" s="15" t="s">
        <v>5</v>
      </c>
      <c r="M10" s="2"/>
    </row>
    <row r="11">
      <c r="B11" s="11" t="str">
        <f>"⚔️ Attack: "&amp;Leveler!B18+F13</f>
        <v>⚔️ Attack: 219</v>
      </c>
      <c r="C11" s="11" t="str">
        <f>"🛡️ Defense: "&amp;Leveler!C18+G13</f>
        <v>🛡️ Defense: 6219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75</v>
      </c>
      <c r="D12" s="11" t="str">
        <f>"🏃‍♀️[P] Evasion: "&amp;Leveler!H20+H15</f>
        <v>🏃‍♀️[P] Evasion: 9</v>
      </c>
      <c r="E12" s="11" t="str">
        <f>"😈[P] Intimidation: "&amp;Leveler!I20+I15</f>
        <v>😈[P] Intimidation: 5</v>
      </c>
      <c r="F12" s="14" t="s">
        <v>7</v>
      </c>
      <c r="G12" s="14" t="s">
        <v>8</v>
      </c>
      <c r="H12" s="14" t="s">
        <v>9</v>
      </c>
      <c r="I12" s="14" t="s">
        <v>10</v>
      </c>
      <c r="L12" s="20" t="s">
        <v>11</v>
      </c>
      <c r="M12" s="21"/>
    </row>
    <row r="13">
      <c r="B13" s="13"/>
      <c r="C13" s="2"/>
      <c r="D13" s="13" t="str">
        <f>"🏊‍♀🏃‍♀️[P]  Mobility: "&amp;Leveler!J20</f>
        <v>🏊‍♀🏃‍♀️[P]  Mobility: 9</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Gemini</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+4 Mobility +4 Evasion 
Days to hatch eggs are reduced by half after rolling 
Starts with the Sub-Class Breeder
Has dark-vision. </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Your Companions deal X4 additional damage.
Companions/Pets that hatched from eggs start at level 100
Nature Immune
Can use Wisdom when attacking with a hit/miss spell.
Enhanced Class Bonuses: Rank 9 in all elements (excluding Acoustic)
Your companions/pets get 1 additional action on their turn during battle..
+5 Can be added to your Charisma rolls while taming..
If a companion/pet under your control would die, it does not die once per battle.
The Shrine town service will cost nothing for you.</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
      </c>
      <c r="E35" s="16" t="str">
        <f>IFERROR(VLOOKUP($C35,Backpack!$B$10:$G1019,MATCH(E$34,Backpack!$B$9:$G$9,0),FALSE),"")</f>
        <v>Knife</v>
      </c>
      <c r="F35" s="16" t="str">
        <f>IFERROR(VLOOKUP($C35,Backpack!$B$10:$G1019,MATCH(F$34,Backpack!$B$9:$G$9,0),FALSE),"")</f>
        <v>DEF: +1000, Nature DEF: +1000 +10,000 damage when thrown, this item will return to you after thrown.</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36</v>
      </c>
      <c r="U39" s="16" t="str">
        <f>IF(ISBLANK($C39),"",IF(IFERROR(VLOOKUP($C39,Backpack!$B$10:$G1019,MATCH("Slot",Backpack!$B$9:$G$9,0),FALSE),"")=T39,FALSE,TRUE))</f>
        <v/>
      </c>
      <c r="V39" s="16" t="str">
        <f>IF(ISBLANK($C39),"",IF(Value(IFERROR(VLOOKUP($C39,Backpack!$B$10:$G1019,MATCH("Level Requirement",Backpack!$B$9:$G$9,0),FALSE),""))&gt;Leveler!$B$13,TRUE,FALSE))</f>
        <v/>
      </c>
    </row>
    <row r="40">
      <c r="B40" s="40" t="s">
        <v>37</v>
      </c>
      <c r="C40" s="41" t="s">
        <v>38</v>
      </c>
      <c r="D40" s="16" t="str">
        <f>IFERROR(VLOOKUP($C40,Backpack!$B$10:$G1019,MATCH(D$34,Backpack!$B$9:$G$9,0),FALSE),"")</f>
        <v/>
      </c>
      <c r="E40" s="16" t="str">
        <f>IFERROR(VLOOKUP($C40,Backpack!$B$10:$G1019,MATCH(E$34,Backpack!$B$9:$G$9,0),FALSE),"")</f>
        <v/>
      </c>
      <c r="F40" s="16" t="str">
        <f>IFERROR(VLOOKUP($C40,Backpack!$B$10:$G1019,MATCH(F$34,Backpack!$B$9:$G$9,0),FALSE),"")</f>
        <v>DEF: +1000, Nature DEF: +1000</v>
      </c>
      <c r="G40" s="42"/>
      <c r="H40" s="42"/>
      <c r="I40" s="42"/>
      <c r="T40" s="14" t="s">
        <v>39</v>
      </c>
      <c r="U40" s="16" t="b">
        <f>IF(ISBLANK($C40),"",IF(IFERROR(VLOOKUP($C40,Backpack!$B$10:$G1019,MATCH("Slot",Backpack!$B$9:$G$9,0),FALSE),"")=T40,FALSE,TRUE))</f>
        <v>0</v>
      </c>
      <c r="V40" s="16" t="b">
        <f>IF(ISBLANK($C40),"",IF(Value(IFERROR(VLOOKUP($C40,Backpack!$B$10:$G1019,MATCH("Level Requirement",Backpack!$B$9:$G$9,0),FALSE),""))&gt;Leveler!$B$13,TRUE,FALSE))</f>
        <v>0</v>
      </c>
    </row>
    <row r="41">
      <c r="B41" s="40" t="s">
        <v>40</v>
      </c>
      <c r="C41" s="41" t="s">
        <v>41</v>
      </c>
      <c r="D41" s="16" t="str">
        <f>IFERROR(VLOOKUP($C41,Backpack!$B$10:$G1019,MATCH(D$34,Backpack!$B$9:$G$9,0),FALSE),"")</f>
        <v/>
      </c>
      <c r="E41" s="16" t="str">
        <f>IFERROR(VLOOKUP($C41,Backpack!$B$10:$G1019,MATCH(E$34,Backpack!$B$9:$G$9,0),FALSE),"")</f>
        <v/>
      </c>
      <c r="F41" s="16" t="str">
        <f>IFERROR(VLOOKUP($C41,Backpack!$B$10:$G1019,MATCH(F$34,Backpack!$B$9:$G$9,0),FALSE),"")</f>
        <v>DEF: +1000, Nature DEF: +1000</v>
      </c>
      <c r="G41" s="42"/>
      <c r="H41" s="42"/>
      <c r="I41" s="42"/>
      <c r="T41" s="14" t="s">
        <v>42</v>
      </c>
      <c r="U41" s="16" t="b">
        <f>IF(ISBLANK($C41),"",IF(IFERROR(VLOOKUP($C41,Backpack!$B$10:$G1019,MATCH("Slot",Backpack!$B$9:$G$9,0),FALSE),"")=T41,FALSE,TRUE))</f>
        <v>0</v>
      </c>
      <c r="V41" s="16" t="b">
        <f>IF(ISBLANK($C41),"",IF(Value(IFERROR(VLOOKUP($C41,Backpack!$B$10:$G1019,MATCH("Level Requirement",Backpack!$B$9:$G$9,0),FALSE),""))&gt;Leveler!$B$13,TRUE,FALSE))</f>
        <v>0</v>
      </c>
    </row>
    <row r="42">
      <c r="B42" s="40" t="s">
        <v>43</v>
      </c>
      <c r="C42" s="41" t="s">
        <v>44</v>
      </c>
      <c r="D42" s="16" t="str">
        <f>IFERROR(VLOOKUP($C42,Backpack!$B$10:$G1019,MATCH(D$34,Backpack!$B$9:$G$9,0),FALSE),"")</f>
        <v/>
      </c>
      <c r="E42" s="16" t="str">
        <f>IFERROR(VLOOKUP($C42,Backpack!$B$10:$G1019,MATCH(E$34,Backpack!$B$9:$G$9,0),FALSE),"")</f>
        <v>Sword</v>
      </c>
      <c r="F42" s="16" t="str">
        <f>IFERROR(VLOOKUP($C42,Backpack!$B$10:$G1019,MATCH(F$34,Backpack!$B$9:$G$9,0),FALSE),"")</f>
        <v>DMG: +1000, Nature DMG: +1000 +X4 damage for this weapon if the battle is in a Forest or Jungle.</v>
      </c>
      <c r="G42" s="42"/>
      <c r="H42" s="42"/>
      <c r="I42" s="42"/>
      <c r="J42" s="37"/>
      <c r="K42" s="37"/>
      <c r="L42" s="37"/>
      <c r="T42" s="14" t="s">
        <v>45</v>
      </c>
      <c r="U42" s="16" t="b">
        <f>IF(ISBLANK($C42),"",IF(IFERROR(VLOOKUP($C42,Backpack!$B$10:$G1019,MATCH("Slot",Backpack!$B$9:$G$9,0),FALSE),"")=T42,FALSE,TRUE))</f>
        <v>0</v>
      </c>
      <c r="V42" s="16" t="b">
        <f>IF(ISBLANK($C42),"",IF(Value(IFERROR(VLOOKUP($C42,Backpack!$B$10:$G1019,MATCH("Level Requirement",Backpack!$B$9:$G$9,0),FALSE),""))&gt;Leveler!$B$13,TRUE,FALSE))</f>
        <v>0</v>
      </c>
    </row>
    <row r="43">
      <c r="B43" s="40" t="s">
        <v>46</v>
      </c>
      <c r="C43" s="41" t="s">
        <v>47</v>
      </c>
      <c r="D43" s="16" t="str">
        <f>IFERROR(VLOOKUP($C43,Backpack!$B$10:$G1019,MATCH(D$34,Backpack!$B$9:$G$9,0),FALSE),"")</f>
        <v/>
      </c>
      <c r="E43" s="16" t="str">
        <f>IFERROR(VLOOKUP($C43,Backpack!$B$10:$G1019,MATCH(E$34,Backpack!$B$9:$G$9,0),FALSE),"")</f>
        <v>Wand</v>
      </c>
      <c r="F43" s="16" t="str">
        <f>IFERROR(VLOOKUP($C43,Backpack!$B$10:$G1019,MATCH(F$34,Backpack!$B$9:$G$9,0),FALSE),"")</f>
        <v> +All types of spells are reduced by half sp. +Cannot be duplicated. +Can only have 1 equipped.</v>
      </c>
      <c r="G43" s="42"/>
      <c r="H43" s="42"/>
      <c r="I43" s="42"/>
      <c r="J43" s="37"/>
      <c r="K43" s="37"/>
      <c r="L43" s="37"/>
      <c r="T43" s="14" t="s">
        <v>45</v>
      </c>
      <c r="U43" s="16" t="b">
        <f>IF(ISBLANK($C43),"",IF(IFERROR(VLOOKUP($C43,Backpack!$B$10:$G1019,MATCH("Slot",Backpack!$B$9:$G$9,0),FALSE),"")=T43,FALSE,TRUE))</f>
        <v>0</v>
      </c>
      <c r="V43" s="16" t="b">
        <f>IF(ISBLANK($C43),"",IF(Value(IFERROR(VLOOKUP($C43,Backpack!$B$10:$G1019,MATCH("Level Requirement",Backpack!$B$9:$G$9,0),FALSE),""))&gt;Leveler!$B$13,TRUE,FALSE))</f>
        <v>0</v>
      </c>
    </row>
    <row r="44">
      <c r="B44" s="40" t="s">
        <v>48</v>
      </c>
      <c r="C44" s="41" t="s">
        <v>49</v>
      </c>
      <c r="D44" s="16" t="str">
        <f>IFERROR(VLOOKUP($C44,Backpack!$B$10:$G1019,MATCH(D$34,Backpack!$B$9:$G$9,0),FALSE),"")</f>
        <v/>
      </c>
      <c r="E44" s="16" t="str">
        <f>IFERROR(VLOOKUP($C44,Backpack!$B$10:$G1019,MATCH(E$34,Backpack!$B$9:$G$9,0),FALSE),"")</f>
        <v/>
      </c>
      <c r="F44" s="16" t="str">
        <f>IFERROR(VLOOKUP($C44,Backpack!$B$10:$G1019,MATCH(F$34,Backpack!$B$9:$G$9,0),FALSE),"")</f>
        <v> +Immunity to nature damage, +increases the roll of a d20 by 2. Can only wear one</v>
      </c>
      <c r="G44" s="42"/>
      <c r="H44" s="42"/>
      <c r="I44" s="42"/>
      <c r="T44" s="14" t="s">
        <v>50</v>
      </c>
      <c r="U44" s="16" t="b">
        <f>IF(ISBLANK($C44),"",IF(IFERROR(VLOOKUP($C44,Backpack!$B$10:$G1019,MATCH("Slot",Backpack!$B$9:$G$9,0),FALSE),"")=T44,FALSE,TRUE))</f>
        <v>0</v>
      </c>
      <c r="V44" s="16" t="b">
        <f>IF(ISBLANK($C44),"",IF(Value(IFERROR(VLOOKUP($C44,Backpack!$B$10:$G1019,MATCH("Level Requirement",Backpack!$B$9:$G$9,0),FALSE),""))&gt;Leveler!$B$13,TRUE,FALSE))</f>
        <v>0</v>
      </c>
    </row>
    <row r="45">
      <c r="B45" s="40" t="s">
        <v>51</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50</v>
      </c>
      <c r="U45" s="16" t="str">
        <f>IF(ISBLANK($C45),"",IF(IFERROR(VLOOKUP($C45,Backpack!$B$10:$G1019,MATCH("Slot",Backpack!$B$9:$G$9,0),FALSE),"")=T45,FALSE,TRUE))</f>
        <v/>
      </c>
      <c r="V45" s="16" t="str">
        <f>IF(ISBLANK($C45),"",IF(Value(IFERROR(VLOOKUP($C45,Backpack!$B$10:$G1019,MATCH("Level Requirement",Backpack!$B$9:$G$9,0),FALSE),""))&gt;Leveler!$B$13,TRUE,FALSE))</f>
        <v/>
      </c>
    </row>
    <row r="46">
      <c r="B46" s="40" t="s">
        <v>52</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50</v>
      </c>
      <c r="U46" s="16" t="str">
        <f>IF(ISBLANK($C46),"",IF(IFERROR(VLOOKUP($C46,Backpack!$B$10:$G1019,MATCH("Slot",Backpack!$B$9:$G$9,0),FALSE),"")=T46,FALSE,TRUE))</f>
        <v/>
      </c>
      <c r="V46" s="16" t="str">
        <f>IF(ISBLANK($C46),"",IF(Value(IFERROR(VLOOKUP($C46,Backpack!$B$10:$G1019,MATCH("Level Requirement",Backpack!$B$9:$G$9,0),FALSE),""))&gt;Leveler!$B$13,TRUE,FALSE))</f>
        <v/>
      </c>
    </row>
    <row r="47">
      <c r="B47" s="40" t="s">
        <v>53</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50</v>
      </c>
      <c r="U47" s="16" t="str">
        <f>IF(ISBLANK($C47),"",IF(IFERROR(VLOOKUP($C47,Backpack!$B$10:$G1019,MATCH("Slot",Backpack!$B$9:$G$9,0),FALSE),"")=T47,FALSE,TRUE))</f>
        <v/>
      </c>
      <c r="V47" s="16" t="str">
        <f>IF(ISBLANK($C47),"",IF(Value(IFERROR(VLOOKUP($C47,Backpack!$B$10:$G1019,MATCH("Level Requirement",Backpack!$B$9:$G$9,0),FALSE),""))&gt;Leveler!$B$13,TRUE,FALSE))</f>
        <v/>
      </c>
    </row>
    <row r="48">
      <c r="B48" s="40" t="s">
        <v>54</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50</v>
      </c>
      <c r="U48" s="16" t="str">
        <f>IF(ISBLANK($C48),"",IF(IFERROR(VLOOKUP($C48,Backpack!$B$10:$G1019,MATCH("Slot",Backpack!$B$9:$G$9,0),FALSE),"")=T48,FALSE,TRUE))</f>
        <v/>
      </c>
      <c r="V48" s="16" t="str">
        <f>IF(ISBLANK($C48),"",IF(Value(IFERROR(VLOOKUP($C48,Backpack!$B$10:$G1019,MATCH("Level Requirement",Backpack!$B$9:$G$9,0),FALSE),""))&gt;Leveler!$B$13,TRUE,FALSE))</f>
        <v/>
      </c>
    </row>
    <row r="49">
      <c r="B49" s="40" t="s">
        <v>55</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50</v>
      </c>
      <c r="U49" s="16" t="str">
        <f>IF(ISBLANK($C49),"",IF(IFERROR(VLOOKUP($C49,Backpack!$B$10:$G1019,MATCH("Slot",Backpack!$B$9:$G$9,0),FALSE),"")=T49,FALSE,TRUE))</f>
        <v/>
      </c>
      <c r="V49" s="16" t="str">
        <f>IF(ISBLANK($C49),"",IF(Value(IFERROR(VLOOKUP($C49,Backpack!$B$10:$G1019,MATCH("Level Requirement",Backpack!$B$9:$G$9,0),FALSE),""))&gt;Leveler!$B$13,TRUE,FALSE))</f>
        <v/>
      </c>
    </row>
    <row r="50">
      <c r="B50" s="40" t="s">
        <v>56</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50</v>
      </c>
      <c r="U50" s="16" t="str">
        <f>IF(ISBLANK($C50),"",IF(IFERROR(VLOOKUP($C50,Backpack!$B$10:$G1019,MATCH("Slot",Backpack!$B$9:$G$9,0),FALSE),"")=T50,FALSE,TRUE))</f>
        <v/>
      </c>
      <c r="V50" s="16" t="str">
        <f>IF(ISBLANK($C50),"",IF(Value(IFERROR(VLOOKUP($C50,Backpack!$B$10:$G1019,MATCH("Level Requirement",Backpack!$B$9:$G$9,0),FALSE),""))&gt;Leveler!$B$13,TRUE,FALSE))</f>
        <v/>
      </c>
    </row>
    <row r="51">
      <c r="B51" s="40" t="s">
        <v>57</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50</v>
      </c>
      <c r="U51" s="16" t="str">
        <f>IF(ISBLANK($C51),"",IF(IFERROR(VLOOKUP($C51,Backpack!$B$10:$G1019,MATCH("Slot",Backpack!$B$9:$G$9,0),FALSE),"")=T51,FALSE,TRUE))</f>
        <v/>
      </c>
      <c r="V51" s="16" t="str">
        <f>IF(ISBLANK($C51),"",IF(Value(IFERROR(VLOOKUP($C51,Backpack!$B$10:$G1019,MATCH("Level Requirement",Backpack!$B$9:$G$9,0),FALSE),""))&gt;Leveler!$B$13,TRUE,FALSE))</f>
        <v/>
      </c>
    </row>
    <row r="52">
      <c r="B52" s="40" t="s">
        <v>58</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50</v>
      </c>
      <c r="U52" s="16" t="str">
        <f>IF(ISBLANK($C52),"",IF(IFERROR(VLOOKUP($C52,Backpack!$B$10:$G1019,MATCH("Slot",Backpack!$B$9:$G$9,0),FALSE),"")=T52,FALSE,TRUE))</f>
        <v/>
      </c>
      <c r="V52" s="16" t="str">
        <f>IF(ISBLANK($C52),"",IF(Value(IFERROR(VLOOKUP($C52,Backpack!$B$10:$G1019,MATCH("Level Requirement",Backpack!$B$9:$G$9,0),FALSE),""))&gt;Leveler!$B$13,TRUE,FALSE))</f>
        <v/>
      </c>
    </row>
    <row r="53">
      <c r="B53" s="40" t="s">
        <v>59</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50</v>
      </c>
      <c r="U53" s="16" t="str">
        <f>IF(ISBLANK($C53),"",IF(IFERROR(VLOOKUP($C53,Backpack!$B$10:$G1019,MATCH("Slot",Backpack!$B$9:$G$9,0),FALSE),"")=T53,FALSE,TRUE))</f>
        <v/>
      </c>
      <c r="V53" s="16" t="str">
        <f>IF(ISBLANK($C53),"",IF(Value(IFERROR(VLOOKUP($C53,Backpack!$B$10:$G1019,MATCH("Level Requirement",Backpack!$B$9:$G$9,0),FALSE),""))&gt;Leveler!$B$13,TRUE,FALSE))</f>
        <v/>
      </c>
    </row>
    <row r="54">
      <c r="B54" s="40" t="s">
        <v>60</v>
      </c>
      <c r="C54" s="41" t="s">
        <v>61</v>
      </c>
      <c r="D54" s="16" t="str">
        <f>IFERROR(VLOOKUP($C54,Backpack!$B$10:$G1019,MATCH(D$34,Backpack!$B$9:$G$9,0),FALSE),"")</f>
        <v/>
      </c>
      <c r="E54" s="16" t="str">
        <f>IFERROR(VLOOKUP($C54,Backpack!$B$10:$G1019,MATCH(E$34,Backpack!$B$9:$G$9,0),FALSE),"")</f>
        <v/>
      </c>
      <c r="F54" s="16" t="str">
        <f>IFERROR(VLOOKUP($C54,Backpack!$B$10:$G1019,MATCH(F$34,Backpack!$B$9:$G$9,0),FALSE),"")</f>
        <v>DEF: +1000, Nature DEF: +1000</v>
      </c>
      <c r="G54" s="42"/>
      <c r="H54" s="42"/>
      <c r="I54" s="42"/>
      <c r="T54" s="14" t="s">
        <v>62</v>
      </c>
      <c r="U54" s="16" t="b">
        <f>IF(ISBLANK($C54),"",IF(IFERROR(VLOOKUP($C54,Backpack!$B$10:$G1019,MATCH("Slot",Backpack!$B$9:$G$9,0),FALSE),"")=T54,FALSE,TRUE))</f>
        <v>0</v>
      </c>
      <c r="V54" s="16" t="b">
        <f>IF(ISBLANK($C54),"",IF(Value(IFERROR(VLOOKUP($C54,Backpack!$B$10:$G1019,MATCH("Level Requirement",Backpack!$B$9:$G$9,0),FALSE),""))&gt;Leveler!$B$13,TRUE,FALSE))</f>
        <v>0</v>
      </c>
    </row>
    <row r="55">
      <c r="B55" s="40" t="s">
        <v>63</v>
      </c>
      <c r="C55" s="41" t="s">
        <v>64</v>
      </c>
      <c r="D55" s="16" t="str">
        <f>IFERROR(VLOOKUP($C55,Backpack!$B$10:$G1019,MATCH(D$34,Backpack!$B$9:$G$9,0),FALSE),"")</f>
        <v/>
      </c>
      <c r="E55" s="16" t="str">
        <f>IFERROR(VLOOKUP($C55,Backpack!$B$10:$G1019,MATCH(E$34,Backpack!$B$9:$G$9,0),FALSE),"")</f>
        <v/>
      </c>
      <c r="F55" s="16" t="str">
        <f>IFERROR(VLOOKUP($C55,Backpack!$B$10:$G1019,MATCH(F$34,Backpack!$B$9:$G$9,0),FALSE),"")</f>
        <v>DEF: +1000, Nature DEF: +1000</v>
      </c>
      <c r="G55" s="42"/>
      <c r="H55" s="42"/>
      <c r="I55" s="42"/>
      <c r="T55" s="14" t="s">
        <v>65</v>
      </c>
      <c r="U55" s="16" t="b">
        <f>IF(ISBLANK($C55),"",IF(IFERROR(VLOOKUP($C55,Backpack!$B$10:$G1019,MATCH("Slot",Backpack!$B$9:$G$9,0),FALSE),"")=T55,FALSE,TRUE))</f>
        <v>0</v>
      </c>
      <c r="V55" s="16" t="b">
        <f>IF(ISBLANK($C55),"",IF(Value(IFERROR(VLOOKUP($C55,Backpack!$B$10:$G1019,MATCH("Level Requirement",Backpack!$B$9:$G$9,0),FALSE),""))&gt;Leveler!$B$13,TRUE,FALSE))</f>
        <v>0</v>
      </c>
    </row>
    <row r="57">
      <c r="B57" s="45" t="s">
        <v>66</v>
      </c>
    </row>
    <row r="58">
      <c r="B58" s="46" t="s">
        <v>67</v>
      </c>
      <c r="C58" s="14" t="b">
        <v>0</v>
      </c>
      <c r="D58" s="46" t="s">
        <v>68</v>
      </c>
      <c r="E58" s="14" t="b">
        <v>0</v>
      </c>
    </row>
    <row r="59">
      <c r="B59" s="47" t="s">
        <v>69</v>
      </c>
      <c r="D59" s="48" t="s">
        <v>69</v>
      </c>
    </row>
    <row r="60">
      <c r="B60" s="46"/>
    </row>
    <row r="61">
      <c r="B61" s="46" t="s">
        <v>70</v>
      </c>
      <c r="C61" s="14" t="b">
        <v>0</v>
      </c>
      <c r="D61" s="46" t="s">
        <v>71</v>
      </c>
      <c r="E61" s="14" t="b">
        <v>0</v>
      </c>
    </row>
    <row r="62">
      <c r="B62" s="47" t="s">
        <v>69</v>
      </c>
      <c r="D62" s="48" t="s">
        <v>69</v>
      </c>
    </row>
    <row r="63">
      <c r="B63" s="46"/>
    </row>
    <row r="64">
      <c r="B64" s="46" t="s">
        <v>72</v>
      </c>
      <c r="C64" s="14" t="b">
        <v>0</v>
      </c>
      <c r="D64" s="46" t="s">
        <v>73</v>
      </c>
      <c r="E64" s="14" t="b">
        <v>0</v>
      </c>
    </row>
    <row r="65">
      <c r="B65" s="47" t="s">
        <v>69</v>
      </c>
      <c r="D65" s="48" t="s">
        <v>69</v>
      </c>
    </row>
    <row r="66">
      <c r="B66" s="46"/>
    </row>
    <row r="67">
      <c r="B67" s="46" t="s">
        <v>74</v>
      </c>
      <c r="C67" s="14" t="b">
        <v>0</v>
      </c>
      <c r="D67" s="46" t="s">
        <v>75</v>
      </c>
      <c r="E67" s="14" t="b">
        <v>0</v>
      </c>
    </row>
    <row r="68">
      <c r="B68" s="47" t="s">
        <v>69</v>
      </c>
      <c r="D68" s="48" t="s">
        <v>69</v>
      </c>
    </row>
    <row r="69">
      <c r="B69" s="46"/>
    </row>
    <row r="70">
      <c r="B70" s="46" t="s">
        <v>76</v>
      </c>
      <c r="C70" s="14" t="b">
        <v>0</v>
      </c>
      <c r="D70" s="46" t="s">
        <v>77</v>
      </c>
      <c r="E70" s="14" t="b">
        <v>0</v>
      </c>
    </row>
    <row r="71">
      <c r="B71" s="47" t="s">
        <v>78</v>
      </c>
      <c r="C71" s="16"/>
      <c r="D71" s="48" t="s">
        <v>69</v>
      </c>
    </row>
    <row r="72">
      <c r="B72" s="47" t="s">
        <v>79</v>
      </c>
    </row>
    <row r="73">
      <c r="B73" s="49" t="str">
        <f>HYPERLINK("https://docs.google.com/spreadsheets/d/1eSUtUwW_74KQVD7cwEk5N1aAXJ6VaYm26Np7dzqyft8", "Wanted Board")</f>
        <v>Wanted Board</v>
      </c>
    </row>
    <row r="74">
      <c r="B74" s="50"/>
    </row>
    <row r="75">
      <c r="B75" s="50"/>
    </row>
    <row r="76">
      <c r="B76" s="51" t="s">
        <v>80</v>
      </c>
      <c r="C76" s="38" t="s">
        <v>81</v>
      </c>
      <c r="D76" s="38" t="s">
        <v>82</v>
      </c>
      <c r="E76" s="38" t="s">
        <v>25</v>
      </c>
      <c r="F76" s="38" t="s">
        <v>83</v>
      </c>
      <c r="H76" s="38" t="s">
        <v>84</v>
      </c>
      <c r="J76" s="38" t="s">
        <v>25</v>
      </c>
      <c r="K76" s="38" t="s">
        <v>85</v>
      </c>
      <c r="L76" s="38" t="s">
        <v>26</v>
      </c>
      <c r="M76" s="38" t="s">
        <v>86</v>
      </c>
    </row>
    <row r="77">
      <c r="B77" s="52" t="str">
        <f>IFERROR(__xludf.DUMMYFUNCTION("ifna(QUERY(Achievements!A2:G1019,""Select A where G = True""))"),"")</f>
        <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87</v>
      </c>
      <c r="C1" s="38" t="s">
        <v>88</v>
      </c>
      <c r="D1" s="38" t="s">
        <v>89</v>
      </c>
      <c r="E1" s="38" t="s">
        <v>90</v>
      </c>
      <c r="F1" s="38" t="s">
        <v>91</v>
      </c>
      <c r="G1" s="62" t="s">
        <v>92</v>
      </c>
      <c r="H1" s="14" t="s">
        <v>93</v>
      </c>
      <c r="I1" s="38" t="s">
        <v>94</v>
      </c>
      <c r="J1" s="62" t="s">
        <v>95</v>
      </c>
      <c r="K1" s="14" t="s">
        <v>96</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97</v>
      </c>
      <c r="H2" s="16"/>
      <c r="I2" s="14" t="b">
        <v>1</v>
      </c>
      <c r="J2" s="62" t="s">
        <v>98</v>
      </c>
      <c r="K2" s="14" t="s">
        <v>99</v>
      </c>
      <c r="S2" s="65" t="s">
        <v>100</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101</v>
      </c>
      <c r="K3" s="14" t="s">
        <v>102</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IFERROR(__xludf.DUMMYFUNCTION("FILTER(EnhancedClasses!$A$2:$B993,EnhancedClasses!$A$2:$A993=$K$2)"),"Druid")</f>
        <v>Druid</v>
      </c>
      <c r="Q3" s="16" t="str">
        <f>IFERROR(__xludf.DUMMYFUNCTION("""COMPUTED_VALUE"""),"High Druid")</f>
        <v>High Druid</v>
      </c>
      <c r="S3" s="65" t="s">
        <v>103</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104</v>
      </c>
      <c r="F4" s="16"/>
      <c r="H4" s="62" t="s">
        <v>105</v>
      </c>
      <c r="I4" s="68">
        <v>6.0</v>
      </c>
      <c r="J4" s="69" t="s">
        <v>106</v>
      </c>
      <c r="K4" s="14" t="s">
        <v>107</v>
      </c>
      <c r="S4" s="65" t="s">
        <v>108</v>
      </c>
      <c r="T4" s="64"/>
      <c r="U4" s="37"/>
      <c r="V4" s="64"/>
      <c r="W4" s="37" t="str">
        <f>IFERROR(__xludf.DUMMYFUNCTION("""COMPUTED_VALUE"""),"Storm")</f>
        <v>Storm</v>
      </c>
      <c r="X4" s="66">
        <f>IFERROR(__xludf.DUMMYFUNCTION("""COMPUTED_VALUE"""),9.0)</f>
        <v>9</v>
      </c>
      <c r="Y4" s="67"/>
      <c r="Z4" s="37"/>
      <c r="AA4" s="37"/>
      <c r="AB4" s="64"/>
    </row>
    <row r="5">
      <c r="A5" s="62" t="s">
        <v>109</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110</v>
      </c>
      <c r="F5" s="14" t="s">
        <v>111</v>
      </c>
      <c r="J5" s="62" t="s">
        <v>112</v>
      </c>
      <c r="K5" s="16"/>
      <c r="S5" s="65" t="s">
        <v>113</v>
      </c>
      <c r="T5" s="64"/>
      <c r="U5" s="37"/>
      <c r="V5" s="37"/>
      <c r="W5" s="37" t="str">
        <f>IFERROR(__xludf.DUMMYFUNCTION("""COMPUTED_VALUE"""),"Earth")</f>
        <v>Earth</v>
      </c>
      <c r="X5" s="66">
        <f>IFERROR(__xludf.DUMMYFUNCTION("""COMPUTED_VALUE"""),9.0)</f>
        <v>9</v>
      </c>
      <c r="Y5" s="67"/>
      <c r="Z5" s="37"/>
      <c r="AA5" s="37"/>
      <c r="AB5" s="64"/>
    </row>
    <row r="6">
      <c r="A6" s="62" t="s">
        <v>114</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115</v>
      </c>
      <c r="F6" s="68"/>
      <c r="H6" s="70" t="s">
        <v>116</v>
      </c>
      <c r="I6" s="18" t="s">
        <v>117</v>
      </c>
      <c r="J6" s="62" t="s">
        <v>118</v>
      </c>
      <c r="K6" s="16"/>
      <c r="S6" s="65" t="s">
        <v>119</v>
      </c>
      <c r="T6" s="64"/>
      <c r="U6" s="37"/>
      <c r="V6" s="64"/>
      <c r="W6" s="37" t="str">
        <f>IFERROR(__xludf.DUMMYFUNCTION("""COMPUTED_VALUE"""),"Light")</f>
        <v>Light</v>
      </c>
      <c r="X6" s="66">
        <f>IFERROR(__xludf.DUMMYFUNCTION("""COMPUTED_VALUE"""),9.0)</f>
        <v>9</v>
      </c>
      <c r="Y6" s="67"/>
      <c r="Z6" s="37"/>
      <c r="AA6" s="37"/>
      <c r="AB6" s="64"/>
    </row>
    <row r="7">
      <c r="A7" s="62" t="s">
        <v>120</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121</v>
      </c>
      <c r="F7" s="68"/>
      <c r="H7" s="71" t="s">
        <v>122</v>
      </c>
      <c r="I7" s="21" t="str">
        <f>IFERROR(VLOOKUP($I$6,AstrologicalSigns!$A$2:$D993,2,FALSE),"")</f>
        <v>Summon Twin</v>
      </c>
      <c r="J7" s="62" t="s">
        <v>123</v>
      </c>
      <c r="K7" s="16"/>
      <c r="S7" s="65" t="s">
        <v>124</v>
      </c>
      <c r="T7" s="64"/>
      <c r="U7" s="37"/>
      <c r="V7" s="64"/>
      <c r="W7" s="37" t="str">
        <f>IFERROR(__xludf.DUMMYFUNCTION("""COMPUTED_VALUE"""),"Dark")</f>
        <v>Dark</v>
      </c>
      <c r="X7" s="66">
        <f>IFERROR(__xludf.DUMMYFUNCTION("""COMPUTED_VALUE"""),9.0)</f>
        <v>9</v>
      </c>
      <c r="Y7" s="67"/>
      <c r="Z7" s="37"/>
      <c r="AA7" s="37"/>
      <c r="AB7" s="64"/>
    </row>
    <row r="8">
      <c r="A8" s="62" t="s">
        <v>125</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126</v>
      </c>
      <c r="F8" s="68"/>
      <c r="H8" s="72" t="s">
        <v>25</v>
      </c>
      <c r="I8" s="35"/>
      <c r="S8" s="65" t="s">
        <v>127</v>
      </c>
      <c r="T8" s="64"/>
      <c r="U8" s="37"/>
      <c r="V8" s="37"/>
      <c r="W8" s="37" t="str">
        <f>IFERROR(__xludf.DUMMYFUNCTION("""COMPUTED_VALUE"""),"Spirit")</f>
        <v>Spirit</v>
      </c>
      <c r="X8" s="66">
        <f>IFERROR(__xludf.DUMMYFUNCTION("""COMPUTED_VALUE"""),9.0)</f>
        <v>9</v>
      </c>
      <c r="Y8" s="67"/>
      <c r="Z8" s="37"/>
      <c r="AA8" s="37"/>
      <c r="AB8" s="64"/>
    </row>
    <row r="9">
      <c r="A9" s="62" t="s">
        <v>128</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129</v>
      </c>
      <c r="F9" s="68"/>
      <c r="H9" s="73" t="str">
        <f>IFERROR(VLOOKUP($I$6,AstrologicalSigns!$A$2:$D993,3,FALSE),"")</f>
        <v>Summons a controllable clone of the user. 200 SP. Can only be done once per battle.</v>
      </c>
      <c r="I9" s="35"/>
      <c r="J9" s="62" t="s">
        <v>130</v>
      </c>
      <c r="S9" s="65" t="s">
        <v>131</v>
      </c>
      <c r="T9" s="64"/>
      <c r="U9" s="37"/>
      <c r="V9" s="37"/>
      <c r="W9" s="37" t="str">
        <f>IFERROR(__xludf.DUMMYFUNCTION("""COMPUTED_VALUE"""),"Order")</f>
        <v>Order</v>
      </c>
      <c r="X9" s="37">
        <f>IFERROR(__xludf.DUMMYFUNCTION("""COMPUTED_VALUE"""),9.0)</f>
        <v>9</v>
      </c>
      <c r="Y9" s="67"/>
      <c r="Z9" s="37"/>
      <c r="AA9" s="37"/>
      <c r="AB9" s="64"/>
    </row>
    <row r="10">
      <c r="E10" s="62" t="s">
        <v>132</v>
      </c>
      <c r="F10" s="16"/>
      <c r="H10" s="74"/>
      <c r="I10" s="35"/>
      <c r="S10" s="65" t="s">
        <v>133</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134</v>
      </c>
      <c r="T11" s="64"/>
      <c r="U11" s="37"/>
      <c r="V11" s="37"/>
      <c r="W11" s="37" t="str">
        <f>IFERROR(__xludf.DUMMYFUNCTION("""COMPUTED_VALUE"""),"Nature")</f>
        <v>Nature</v>
      </c>
      <c r="X11" s="37">
        <f>IFERROR(__xludf.DUMMYFUNCTION("""COMPUTED_VALUE"""),9.0)</f>
        <v>9</v>
      </c>
      <c r="Y11" s="67"/>
      <c r="Z11" s="37"/>
      <c r="AA11" s="37"/>
      <c r="AB11" s="64"/>
    </row>
    <row r="12">
      <c r="B12" s="38" t="s">
        <v>135</v>
      </c>
      <c r="C12" s="38" t="s">
        <v>136</v>
      </c>
      <c r="E12" s="62" t="str">
        <f>"Damage Orb ("&amp;IF(ISBLANK(F12),0,1)&amp;"/1):"</f>
        <v>Damage Orb (0/1):</v>
      </c>
      <c r="F12" s="14"/>
      <c r="G12" s="62" t="s">
        <v>137</v>
      </c>
      <c r="H12" s="14"/>
      <c r="I12" s="75" t="s">
        <v>138</v>
      </c>
      <c r="J12" s="14" t="str">
        <f>Config!B3</f>
        <v>1mNoojYCRU_5eQ4skcH3ywN5n3JMKPeua1AFji0FLWdI</v>
      </c>
      <c r="S12" s="65" t="s">
        <v>139</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140</v>
      </c>
      <c r="H13" s="14"/>
      <c r="J13" s="14" t="s">
        <v>141</v>
      </c>
      <c r="S13" s="65" t="s">
        <v>142</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143</v>
      </c>
      <c r="F14" s="14"/>
      <c r="G14" s="62" t="s">
        <v>144</v>
      </c>
      <c r="H14" s="14"/>
      <c r="J14" s="14" t="s">
        <v>145</v>
      </c>
      <c r="S14" s="65" t="s">
        <v>146</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147</v>
      </c>
      <c r="F15" s="16"/>
      <c r="S15" s="65" t="s">
        <v>148</v>
      </c>
      <c r="T15" s="64"/>
      <c r="U15" s="37"/>
      <c r="V15" s="37"/>
      <c r="W15" s="37" t="str">
        <f>IFERROR(__xludf.DUMMYFUNCTION("""COMPUTED_VALUE"""),"Stasis")</f>
        <v>Stasis</v>
      </c>
      <c r="X15" s="37">
        <f>IFERROR(__xludf.DUMMYFUNCTION("""COMPUTED_VALUE"""),9.0)</f>
        <v>9</v>
      </c>
      <c r="Y15" s="67"/>
      <c r="Z15" s="37"/>
      <c r="AA15" s="37"/>
      <c r="AB15" s="64"/>
    </row>
    <row r="16">
      <c r="S16" s="65" t="s">
        <v>149</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150</v>
      </c>
      <c r="K17" s="38"/>
      <c r="S17" s="65" t="s">
        <v>151</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6219</v>
      </c>
      <c r="D18" s="77">
        <f>(B4+C4+D4)+((B13-1)*IF(E2,2,1))+SUM(D28:D48)</f>
        <v>219</v>
      </c>
      <c r="E18" s="76">
        <v>5.0</v>
      </c>
      <c r="F18" s="76">
        <v>5.0</v>
      </c>
      <c r="G18" s="76">
        <v>75.0</v>
      </c>
      <c r="H18" s="76">
        <v>5.0</v>
      </c>
      <c r="I18" s="76">
        <v>5.0</v>
      </c>
      <c r="J18" s="76">
        <v>5.0</v>
      </c>
      <c r="K18" s="77"/>
      <c r="S18" s="65" t="s">
        <v>152</v>
      </c>
      <c r="T18" s="64"/>
      <c r="U18" s="37"/>
      <c r="V18" s="37"/>
      <c r="W18" s="37" t="str">
        <f>IFERROR(__xludf.DUMMYFUNCTION("""COMPUTED_VALUE"""),"Blood")</f>
        <v>Blood</v>
      </c>
      <c r="X18" s="37">
        <f>IFERROR(__xludf.DUMMYFUNCTION("""COMPUTED_VALUE"""),9.0)</f>
        <v>9</v>
      </c>
      <c r="Y18" s="67"/>
      <c r="Z18" s="37"/>
      <c r="AA18" s="37"/>
      <c r="AB18" s="64"/>
    </row>
    <row r="19">
      <c r="D19" s="75" t="s">
        <v>153</v>
      </c>
      <c r="E19" s="76"/>
      <c r="F19" s="76"/>
      <c r="G19" s="76"/>
      <c r="H19" s="76"/>
      <c r="I19" s="76"/>
      <c r="J19" s="76"/>
      <c r="S19" s="65" t="s">
        <v>154</v>
      </c>
      <c r="T19" s="64"/>
      <c r="U19" s="37"/>
      <c r="V19" s="37"/>
      <c r="W19" s="37" t="str">
        <f>IFERROR(__xludf.DUMMYFUNCTION("""COMPUTED_VALUE"""),"Delta")</f>
        <v>Delta</v>
      </c>
      <c r="X19" s="37">
        <f>IFERROR(__xludf.DUMMYFUNCTION("""COMPUTED_VALUE"""),9.0)</f>
        <v>9</v>
      </c>
      <c r="Y19" s="67"/>
      <c r="Z19" s="37"/>
      <c r="AA19" s="37"/>
      <c r="AB19" s="64"/>
    </row>
    <row r="20">
      <c r="D20" s="75" t="s">
        <v>155</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9</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9</v>
      </c>
      <c r="S20" s="65" t="s">
        <v>156</v>
      </c>
      <c r="T20" s="37"/>
      <c r="U20" s="37"/>
      <c r="V20" s="37"/>
      <c r="W20" s="37" t="str">
        <f>IFERROR(__xludf.DUMMYFUNCTION("""COMPUTED_VALUE"""),"Zen")</f>
        <v>Zen</v>
      </c>
      <c r="X20" s="37">
        <f>IFERROR(__xludf.DUMMYFUNCTION("""COMPUTED_VALUE"""),9.0)</f>
        <v>9</v>
      </c>
      <c r="Y20" s="67"/>
      <c r="Z20" s="37"/>
      <c r="AA20" s="37"/>
      <c r="AB20" s="64"/>
    </row>
    <row r="21">
      <c r="S21" s="65" t="s">
        <v>157</v>
      </c>
      <c r="T21" s="37"/>
      <c r="U21" s="37"/>
      <c r="V21" s="37"/>
      <c r="W21" s="37" t="str">
        <f>IFERROR(__xludf.DUMMYFUNCTION("""COMPUTED_VALUE"""),"Astral")</f>
        <v>Astral</v>
      </c>
      <c r="X21" s="37">
        <f>IFERROR(__xludf.DUMMYFUNCTION("""COMPUTED_VALUE"""),9.0)</f>
        <v>9</v>
      </c>
      <c r="Y21" s="67"/>
      <c r="Z21" s="37"/>
      <c r="AA21" s="37"/>
      <c r="AB21" s="64"/>
    </row>
    <row r="22">
      <c r="B22" s="38" t="s">
        <v>109</v>
      </c>
      <c r="C22" s="38" t="s">
        <v>114</v>
      </c>
      <c r="D22" s="38" t="s">
        <v>120</v>
      </c>
      <c r="E22" s="38" t="s">
        <v>125</v>
      </c>
      <c r="F22" s="38" t="s">
        <v>128</v>
      </c>
      <c r="H22" s="81" t="s">
        <v>158</v>
      </c>
      <c r="I22" s="82" t="s">
        <v>159</v>
      </c>
      <c r="J22" s="83"/>
      <c r="K22" s="83"/>
      <c r="L22" s="84"/>
      <c r="S22" s="65" t="s">
        <v>160</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161</v>
      </c>
      <c r="I23" s="42" t="str">
        <f>IFERROR(VLOOKUP($I$22,Factions!$A$2:$Z993,MATCH("Faction Ability 1",Factions!$A$1:$Z$1,0),FALSE)&amp;" - "&amp;VLOOKUP($I$22,Factions!$A$2:$Z993,MATCH("Ability Description 1",Factions!$A$1:$Z$1,0),FALSE),"")</f>
        <v>Natures Blessing - When dealing nature damage to an enemy, Your HP and SP will be restored equal to half of the damage dealt </v>
      </c>
      <c r="L23" s="35"/>
      <c r="S23" s="65" t="s">
        <v>162</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Natures Helping Hand - You gain Truesight 1 at the beginning of battle if the battle is in a Forest, Jungle, or Swamp. </v>
      </c>
      <c r="L24" s="35"/>
      <c r="S24" s="65" t="s">
        <v>163</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Natures Guide - You will never fail to find herbs. If you don't find one keep rolling until you do.</v>
      </c>
      <c r="J25" s="88"/>
      <c r="K25" s="88"/>
      <c r="L25" s="8"/>
    </row>
    <row r="26">
      <c r="A26" s="75"/>
      <c r="S26" s="16" t="b">
        <f>IF(ISBLANK($F$10),FALSE,IF(VLOOKUP($I$22,Factions!$A$2:$Z993,MATCH($F$10,Factions!$A$1:$Z$1,0),FALSE),FALSE,TRUE))</f>
        <v>0</v>
      </c>
    </row>
    <row r="27">
      <c r="B27" s="62" t="s">
        <v>164</v>
      </c>
      <c r="C27" s="62" t="s">
        <v>165</v>
      </c>
      <c r="D27" s="62" t="s">
        <v>166</v>
      </c>
      <c r="E27" s="62" t="s">
        <v>167</v>
      </c>
      <c r="F27" s="62" t="s">
        <v>168</v>
      </c>
      <c r="G27" s="62" t="s">
        <v>169</v>
      </c>
      <c r="H27" s="62" t="s">
        <v>170</v>
      </c>
      <c r="I27" s="62" t="s">
        <v>171</v>
      </c>
    </row>
    <row r="28">
      <c r="A28" s="76" t="s">
        <v>30</v>
      </c>
      <c r="B28" s="47">
        <v>1000.0</v>
      </c>
      <c r="C28" s="47"/>
      <c r="D28" s="47"/>
      <c r="E28" s="47"/>
      <c r="F28" s="47"/>
      <c r="G28" s="47"/>
      <c r="H28" s="47"/>
      <c r="I28" s="47"/>
    </row>
    <row r="29">
      <c r="A29" s="76" t="s">
        <v>172</v>
      </c>
      <c r="B29" s="47"/>
      <c r="C29" s="47"/>
      <c r="D29" s="47"/>
      <c r="E29" s="47"/>
      <c r="F29" s="47"/>
      <c r="G29" s="47"/>
      <c r="H29" s="47"/>
      <c r="I29" s="47"/>
    </row>
    <row r="30">
      <c r="A30" s="76" t="s">
        <v>173</v>
      </c>
      <c r="B30" s="47"/>
      <c r="C30" s="47"/>
      <c r="D30" s="47"/>
      <c r="E30" s="47"/>
      <c r="F30" s="47"/>
      <c r="G30" s="47"/>
      <c r="H30" s="47"/>
      <c r="I30" s="47"/>
    </row>
    <row r="31">
      <c r="A31" s="76" t="s">
        <v>174</v>
      </c>
      <c r="B31" s="47"/>
      <c r="C31" s="47"/>
      <c r="D31" s="47"/>
      <c r="E31" s="47"/>
      <c r="F31" s="47"/>
      <c r="G31" s="47"/>
      <c r="H31" s="47"/>
      <c r="I31" s="47"/>
    </row>
    <row r="32">
      <c r="A32" s="76" t="s">
        <v>36</v>
      </c>
      <c r="B32" s="47">
        <v>1000.0</v>
      </c>
      <c r="C32" s="47"/>
      <c r="D32" s="47"/>
      <c r="E32" s="47"/>
      <c r="F32" s="47"/>
      <c r="G32" s="47"/>
      <c r="H32" s="47"/>
      <c r="I32" s="47"/>
    </row>
    <row r="33">
      <c r="A33" s="76" t="s">
        <v>39</v>
      </c>
      <c r="B33" s="47">
        <v>1000.0</v>
      </c>
      <c r="C33" s="47"/>
      <c r="D33" s="47"/>
      <c r="E33" s="47"/>
      <c r="F33" s="47"/>
      <c r="G33" s="47"/>
      <c r="H33" s="47"/>
      <c r="I33" s="47"/>
    </row>
    <row r="34">
      <c r="A34" s="76" t="s">
        <v>42</v>
      </c>
      <c r="B34" s="47">
        <v>1000.0</v>
      </c>
      <c r="C34" s="47"/>
      <c r="D34" s="47"/>
      <c r="E34" s="47"/>
      <c r="F34" s="47"/>
      <c r="G34" s="47"/>
      <c r="H34" s="47"/>
      <c r="I34" s="47"/>
    </row>
    <row r="35">
      <c r="A35" s="76" t="s">
        <v>175</v>
      </c>
      <c r="B35" s="47"/>
      <c r="C35" s="47"/>
      <c r="D35" s="47"/>
      <c r="E35" s="47"/>
      <c r="F35" s="47"/>
      <c r="G35" s="47"/>
      <c r="H35" s="47"/>
      <c r="I35" s="47"/>
    </row>
    <row r="36">
      <c r="A36" s="76" t="s">
        <v>176</v>
      </c>
      <c r="B36" s="47"/>
      <c r="C36" s="47"/>
      <c r="D36" s="47"/>
      <c r="E36" s="47"/>
      <c r="F36" s="47"/>
      <c r="G36" s="47"/>
      <c r="H36" s="47"/>
      <c r="I36" s="47"/>
    </row>
    <row r="37">
      <c r="A37" s="76" t="s">
        <v>177</v>
      </c>
      <c r="B37" s="47"/>
      <c r="C37" s="47"/>
      <c r="D37" s="47"/>
      <c r="E37" s="47"/>
      <c r="F37" s="47"/>
      <c r="G37" s="47"/>
      <c r="H37" s="47"/>
      <c r="I37" s="47"/>
    </row>
    <row r="38">
      <c r="A38" s="76" t="s">
        <v>178</v>
      </c>
      <c r="B38" s="47"/>
      <c r="C38" s="47"/>
      <c r="D38" s="47"/>
      <c r="E38" s="47"/>
      <c r="F38" s="47"/>
      <c r="G38" s="47"/>
      <c r="H38" s="47"/>
      <c r="I38" s="47"/>
    </row>
    <row r="39">
      <c r="A39" s="76" t="s">
        <v>179</v>
      </c>
      <c r="B39" s="47"/>
      <c r="C39" s="47"/>
      <c r="D39" s="47"/>
      <c r="E39" s="47"/>
      <c r="F39" s="47"/>
      <c r="G39" s="47"/>
      <c r="H39" s="47"/>
      <c r="I39" s="47"/>
    </row>
    <row r="40">
      <c r="A40" s="76" t="s">
        <v>180</v>
      </c>
      <c r="B40" s="47"/>
      <c r="C40" s="47"/>
      <c r="D40" s="47"/>
      <c r="E40" s="47"/>
      <c r="F40" s="47"/>
      <c r="G40" s="47"/>
      <c r="H40" s="47"/>
      <c r="I40" s="47"/>
    </row>
    <row r="41">
      <c r="A41" s="76" t="s">
        <v>181</v>
      </c>
      <c r="B41" s="47"/>
      <c r="C41" s="47"/>
      <c r="D41" s="47"/>
      <c r="E41" s="47"/>
      <c r="F41" s="47"/>
      <c r="G41" s="47"/>
      <c r="H41" s="47"/>
      <c r="I41" s="47"/>
    </row>
    <row r="42">
      <c r="A42" s="76" t="s">
        <v>182</v>
      </c>
      <c r="B42" s="47"/>
      <c r="C42" s="47"/>
      <c r="D42" s="47"/>
      <c r="E42" s="47"/>
      <c r="F42" s="47"/>
      <c r="G42" s="47"/>
      <c r="H42" s="47"/>
      <c r="I42" s="47"/>
    </row>
    <row r="43">
      <c r="A43" s="76" t="s">
        <v>183</v>
      </c>
      <c r="B43" s="47"/>
      <c r="C43" s="47"/>
      <c r="D43" s="47"/>
      <c r="E43" s="47"/>
      <c r="F43" s="47"/>
      <c r="G43" s="47"/>
      <c r="H43" s="47"/>
      <c r="I43" s="47"/>
    </row>
    <row r="44">
      <c r="A44" s="76" t="s">
        <v>184</v>
      </c>
      <c r="B44" s="47"/>
      <c r="C44" s="47"/>
      <c r="D44" s="47"/>
      <c r="E44" s="47"/>
      <c r="F44" s="47"/>
      <c r="G44" s="47"/>
      <c r="H44" s="47"/>
      <c r="I44" s="47"/>
    </row>
    <row r="45">
      <c r="A45" s="76" t="s">
        <v>185</v>
      </c>
      <c r="B45" s="47"/>
      <c r="C45" s="47"/>
      <c r="D45" s="47"/>
      <c r="E45" s="47"/>
      <c r="F45" s="47"/>
      <c r="G45" s="47"/>
      <c r="H45" s="47"/>
      <c r="I45" s="47"/>
    </row>
    <row r="46">
      <c r="A46" s="76" t="s">
        <v>186</v>
      </c>
      <c r="B46" s="47"/>
      <c r="C46" s="47"/>
      <c r="D46" s="47"/>
      <c r="E46" s="47"/>
      <c r="F46" s="47"/>
      <c r="G46" s="47"/>
      <c r="H46" s="47"/>
      <c r="I46" s="47"/>
    </row>
    <row r="47">
      <c r="A47" s="76" t="s">
        <v>62</v>
      </c>
      <c r="B47" s="47">
        <v>1000.0</v>
      </c>
      <c r="C47" s="47"/>
      <c r="D47" s="47"/>
      <c r="E47" s="47"/>
      <c r="F47" s="47"/>
      <c r="G47" s="47"/>
      <c r="H47" s="47"/>
      <c r="I47" s="47"/>
    </row>
    <row r="48">
      <c r="A48" s="76" t="s">
        <v>65</v>
      </c>
      <c r="B48" s="47">
        <v>1000.0</v>
      </c>
      <c r="C48" s="47"/>
      <c r="D48" s="47"/>
      <c r="E48" s="47"/>
      <c r="F48" s="47"/>
      <c r="G48" s="47"/>
      <c r="H48" s="47"/>
      <c r="I48" s="47"/>
    </row>
    <row r="51">
      <c r="B51" s="38" t="s">
        <v>187</v>
      </c>
    </row>
    <row r="52">
      <c r="A52" s="38" t="s">
        <v>188</v>
      </c>
      <c r="B52" s="38" t="s">
        <v>189</v>
      </c>
      <c r="C52" s="38" t="s">
        <v>190</v>
      </c>
      <c r="E52" s="38"/>
    </row>
    <row r="53">
      <c r="A53" s="14" t="s">
        <v>191</v>
      </c>
      <c r="B53" s="14" t="b">
        <v>0</v>
      </c>
      <c r="C53" s="16"/>
    </row>
    <row r="54">
      <c r="A54" s="14" t="s">
        <v>192</v>
      </c>
      <c r="B54" s="14" t="b">
        <v>0</v>
      </c>
      <c r="C54" s="16"/>
    </row>
    <row r="55">
      <c r="A55" s="14" t="s">
        <v>193</v>
      </c>
      <c r="B55" s="14" t="b">
        <v>0</v>
      </c>
      <c r="C55" s="16"/>
    </row>
    <row r="56">
      <c r="A56" s="14" t="s">
        <v>194</v>
      </c>
      <c r="B56" s="14" t="b">
        <v>0</v>
      </c>
      <c r="C56" s="16"/>
    </row>
    <row r="57">
      <c r="A57" s="14" t="s">
        <v>195</v>
      </c>
      <c r="B57" s="14" t="b">
        <v>0</v>
      </c>
      <c r="C57" s="16"/>
    </row>
    <row r="58">
      <c r="A58" s="14" t="s">
        <v>196</v>
      </c>
      <c r="B58" s="14" t="b">
        <v>0</v>
      </c>
      <c r="C58" s="16"/>
    </row>
    <row r="59">
      <c r="A59" s="14" t="s">
        <v>197</v>
      </c>
      <c r="B59" s="14" t="b">
        <v>0</v>
      </c>
      <c r="C59" s="16"/>
    </row>
    <row r="60">
      <c r="A60" s="14" t="s">
        <v>198</v>
      </c>
      <c r="B60" s="14" t="b">
        <v>0</v>
      </c>
      <c r="C60" s="16"/>
    </row>
    <row r="61">
      <c r="A61" s="14" t="s">
        <v>199</v>
      </c>
      <c r="B61" s="14" t="b">
        <v>0</v>
      </c>
      <c r="C61" s="16"/>
    </row>
    <row r="62">
      <c r="A62" s="14" t="s">
        <v>200</v>
      </c>
      <c r="B62" s="14" t="b">
        <v>0</v>
      </c>
      <c r="C62" s="16"/>
    </row>
    <row r="63">
      <c r="A63" s="14" t="s">
        <v>201</v>
      </c>
      <c r="B63" s="14" t="b">
        <v>0</v>
      </c>
      <c r="C63" s="16"/>
    </row>
    <row r="64">
      <c r="A64" s="14" t="s">
        <v>202</v>
      </c>
      <c r="B64" s="14" t="b">
        <v>0</v>
      </c>
      <c r="C64" s="16"/>
    </row>
    <row r="65">
      <c r="A65" s="14" t="s">
        <v>203</v>
      </c>
      <c r="B65" s="14" t="b">
        <v>0</v>
      </c>
      <c r="C65" s="16"/>
    </row>
    <row r="66">
      <c r="A66" s="14" t="s">
        <v>204</v>
      </c>
      <c r="B66" s="14" t="b">
        <v>0</v>
      </c>
      <c r="C66" s="16"/>
    </row>
    <row r="67">
      <c r="A67" s="14" t="s">
        <v>205</v>
      </c>
      <c r="B67" s="14" t="b">
        <v>0</v>
      </c>
      <c r="C67" s="16"/>
    </row>
    <row r="68">
      <c r="A68" s="14" t="s">
        <v>206</v>
      </c>
      <c r="B68" s="14" t="b">
        <v>0</v>
      </c>
      <c r="C68" s="16"/>
    </row>
    <row r="69">
      <c r="A69" s="14" t="s">
        <v>207</v>
      </c>
      <c r="B69" s="14" t="b">
        <v>0</v>
      </c>
      <c r="C69" s="16"/>
    </row>
    <row r="70">
      <c r="A70" s="14" t="s">
        <v>208</v>
      </c>
      <c r="B70" s="14" t="b">
        <v>0</v>
      </c>
      <c r="C70" s="16"/>
    </row>
    <row r="71">
      <c r="A71" s="14" t="s">
        <v>209</v>
      </c>
      <c r="B71" s="14" t="b">
        <v>0</v>
      </c>
      <c r="C71" s="16"/>
    </row>
    <row r="72">
      <c r="A72" s="14" t="s">
        <v>210</v>
      </c>
      <c r="B72" s="14" t="b">
        <v>0</v>
      </c>
      <c r="C72" s="16"/>
    </row>
    <row r="73">
      <c r="A73" s="14" t="s">
        <v>211</v>
      </c>
      <c r="B73" s="14" t="b">
        <v>0</v>
      </c>
      <c r="C73" s="16"/>
    </row>
    <row r="74">
      <c r="A74" s="14" t="s">
        <v>212</v>
      </c>
      <c r="B74" s="14" t="b">
        <v>0</v>
      </c>
      <c r="C74" s="16"/>
    </row>
    <row r="75">
      <c r="A75" s="14" t="s">
        <v>213</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214</v>
      </c>
      <c r="B1" s="14" t="s">
        <v>215</v>
      </c>
      <c r="C1" s="14" t="s">
        <v>216</v>
      </c>
      <c r="D1" s="14" t="s">
        <v>217</v>
      </c>
      <c r="E1" s="14" t="s">
        <v>187</v>
      </c>
      <c r="F1" s="14" t="s">
        <v>218</v>
      </c>
      <c r="G1" s="14" t="s">
        <v>219</v>
      </c>
    </row>
    <row r="2">
      <c r="A2" s="67" t="s">
        <v>100</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103</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108</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113</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119</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124</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127</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131</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133</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134</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139</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142</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146</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148</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149</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151</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152</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154</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156</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157</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160</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162</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163</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220</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190</v>
      </c>
      <c r="C1" s="90" t="s">
        <v>221</v>
      </c>
      <c r="D1" s="90" t="s">
        <v>222</v>
      </c>
      <c r="E1" s="90" t="s">
        <v>223</v>
      </c>
      <c r="F1" s="90" t="s">
        <v>26</v>
      </c>
      <c r="G1" s="90" t="s">
        <v>224</v>
      </c>
      <c r="H1" s="90" t="s">
        <v>188</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225</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226</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227</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228</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229</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230</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231</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232</v>
      </c>
      <c r="Y1" s="97" t="s">
        <v>233</v>
      </c>
      <c r="Z1" s="97" t="s">
        <v>27</v>
      </c>
      <c r="AA1" s="97" t="s">
        <v>234</v>
      </c>
    </row>
    <row r="2">
      <c r="A2" s="75" t="s">
        <v>235</v>
      </c>
      <c r="B2" s="14" t="s">
        <v>236</v>
      </c>
      <c r="C2" s="38" t="s">
        <v>25</v>
      </c>
      <c r="D2" s="38" t="s">
        <v>26</v>
      </c>
      <c r="E2" s="38" t="s">
        <v>232</v>
      </c>
      <c r="F2" s="38" t="s">
        <v>233</v>
      </c>
      <c r="G2" s="38" t="s">
        <v>27</v>
      </c>
      <c r="H2" s="38" t="s">
        <v>234</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237</v>
      </c>
    </row>
    <row r="8">
      <c r="A8" s="14" t="str">
        <f>"Storage: "&amp;counta(B10:B1070)&amp;"/"&amp;B8</f>
        <v>Storage: 13/70</v>
      </c>
      <c r="B8" s="14">
        <v>70.0</v>
      </c>
    </row>
    <row r="9">
      <c r="A9" s="38" t="s">
        <v>238</v>
      </c>
      <c r="B9" s="38" t="s">
        <v>24</v>
      </c>
      <c r="C9" s="38" t="s">
        <v>25</v>
      </c>
      <c r="D9" s="38" t="s">
        <v>26</v>
      </c>
      <c r="E9" s="38" t="s">
        <v>232</v>
      </c>
      <c r="F9" s="38" t="s">
        <v>233</v>
      </c>
      <c r="G9" s="38" t="s">
        <v>27</v>
      </c>
      <c r="H9" s="38" t="s">
        <v>234</v>
      </c>
      <c r="I9" s="38" t="s">
        <v>239</v>
      </c>
    </row>
    <row r="10">
      <c r="A10" s="63">
        <v>100.0</v>
      </c>
      <c r="B10" s="14" t="s">
        <v>240</v>
      </c>
      <c r="C10" s="14" t="s">
        <v>241</v>
      </c>
      <c r="D10" s="14" t="s">
        <v>242</v>
      </c>
      <c r="E10" s="37"/>
      <c r="F10" s="37"/>
      <c r="G10" s="37"/>
      <c r="H10" s="99"/>
      <c r="I10" s="37"/>
    </row>
    <row r="11">
      <c r="A11" s="63">
        <v>100.0</v>
      </c>
      <c r="B11" s="65" t="s">
        <v>243</v>
      </c>
      <c r="C11" s="100" t="s">
        <v>244</v>
      </c>
      <c r="D11" s="37"/>
      <c r="E11" s="37"/>
      <c r="F11" s="37"/>
      <c r="G11" s="37"/>
      <c r="H11" s="99"/>
      <c r="I11" s="37"/>
    </row>
    <row r="12">
      <c r="A12" s="63">
        <v>1.0</v>
      </c>
      <c r="B12" s="14" t="s">
        <v>236</v>
      </c>
      <c r="D12" s="14" t="s">
        <v>245</v>
      </c>
      <c r="E12" s="14" t="s">
        <v>45</v>
      </c>
      <c r="F12" s="97">
        <v>40.0</v>
      </c>
      <c r="G12" s="14" t="s">
        <v>246</v>
      </c>
      <c r="H12" s="101">
        <v>60000.0</v>
      </c>
      <c r="I12" s="37"/>
    </row>
    <row r="13">
      <c r="A13" s="102">
        <v>1.0</v>
      </c>
      <c r="B13" s="65" t="s">
        <v>29</v>
      </c>
      <c r="C13" s="37"/>
      <c r="D13" s="65" t="s">
        <v>247</v>
      </c>
      <c r="E13" s="65" t="s">
        <v>30</v>
      </c>
      <c r="F13" s="102">
        <v>40.0</v>
      </c>
      <c r="G13" s="65" t="s">
        <v>248</v>
      </c>
      <c r="H13" s="102">
        <v>60000.0</v>
      </c>
      <c r="I13" s="37"/>
    </row>
    <row r="14">
      <c r="A14" s="103">
        <v>1.0</v>
      </c>
      <c r="B14" s="100" t="s">
        <v>249</v>
      </c>
      <c r="C14" s="37"/>
      <c r="D14" s="37"/>
      <c r="E14" s="65" t="s">
        <v>36</v>
      </c>
      <c r="F14" s="103">
        <v>40.0</v>
      </c>
      <c r="G14" s="65" t="s">
        <v>250</v>
      </c>
      <c r="H14" s="104">
        <v>60000.0</v>
      </c>
      <c r="I14" s="64"/>
    </row>
    <row r="15">
      <c r="A15" s="103">
        <v>1.0</v>
      </c>
      <c r="B15" s="100" t="s">
        <v>38</v>
      </c>
      <c r="C15" s="37"/>
      <c r="D15" s="37"/>
      <c r="E15" s="65" t="s">
        <v>39</v>
      </c>
      <c r="F15" s="103">
        <v>40.0</v>
      </c>
      <c r="G15" s="65" t="s">
        <v>250</v>
      </c>
      <c r="H15" s="105">
        <v>60000.0</v>
      </c>
      <c r="I15" s="64"/>
    </row>
    <row r="16">
      <c r="A16" s="103">
        <v>1.0</v>
      </c>
      <c r="B16" s="100" t="s">
        <v>61</v>
      </c>
      <c r="C16" s="37"/>
      <c r="D16" s="37"/>
      <c r="E16" s="65" t="s">
        <v>62</v>
      </c>
      <c r="F16" s="103">
        <v>40.0</v>
      </c>
      <c r="G16" s="65" t="s">
        <v>250</v>
      </c>
      <c r="H16" s="105">
        <v>60000.0</v>
      </c>
      <c r="I16" s="37"/>
    </row>
    <row r="17">
      <c r="A17" s="103">
        <v>1.0</v>
      </c>
      <c r="B17" s="100" t="s">
        <v>64</v>
      </c>
      <c r="C17" s="37"/>
      <c r="D17" s="37"/>
      <c r="E17" s="65" t="s">
        <v>65</v>
      </c>
      <c r="F17" s="103">
        <v>40.0</v>
      </c>
      <c r="G17" s="65" t="s">
        <v>250</v>
      </c>
      <c r="H17" s="105">
        <v>60000.0</v>
      </c>
      <c r="I17" s="37"/>
    </row>
    <row r="18">
      <c r="A18" s="103">
        <v>1.0</v>
      </c>
      <c r="B18" s="100" t="s">
        <v>44</v>
      </c>
      <c r="C18" s="37"/>
      <c r="D18" s="65" t="s">
        <v>245</v>
      </c>
      <c r="E18" s="65" t="s">
        <v>45</v>
      </c>
      <c r="F18" s="103">
        <v>40.0</v>
      </c>
      <c r="G18" s="65" t="s">
        <v>251</v>
      </c>
      <c r="H18" s="105">
        <v>60000.0</v>
      </c>
      <c r="I18" s="37"/>
    </row>
    <row r="19">
      <c r="A19" s="103">
        <v>1.0</v>
      </c>
      <c r="B19" s="100" t="s">
        <v>41</v>
      </c>
      <c r="C19" s="37"/>
      <c r="D19" s="37"/>
      <c r="E19" s="65" t="s">
        <v>42</v>
      </c>
      <c r="F19" s="103">
        <v>40.0</v>
      </c>
      <c r="G19" s="65" t="s">
        <v>250</v>
      </c>
      <c r="H19" s="105">
        <v>60000.0</v>
      </c>
      <c r="I19" s="37"/>
    </row>
    <row r="20">
      <c r="A20" s="103">
        <v>1.0</v>
      </c>
      <c r="B20" s="65" t="s">
        <v>252</v>
      </c>
      <c r="C20" s="37"/>
      <c r="D20" s="65" t="s">
        <v>253</v>
      </c>
      <c r="E20" s="65" t="s">
        <v>45</v>
      </c>
      <c r="F20" s="102">
        <v>400.0</v>
      </c>
      <c r="G20" s="65" t="s">
        <v>254</v>
      </c>
      <c r="H20" s="104">
        <v>7800000.0</v>
      </c>
      <c r="I20" s="37"/>
    </row>
    <row r="21">
      <c r="A21" s="103">
        <v>1.0</v>
      </c>
      <c r="B21" s="65" t="s">
        <v>47</v>
      </c>
      <c r="C21" s="106"/>
      <c r="D21" s="65" t="s">
        <v>255</v>
      </c>
      <c r="E21" s="65" t="s">
        <v>45</v>
      </c>
      <c r="F21" s="102">
        <v>1.0</v>
      </c>
      <c r="G21" s="65" t="s">
        <v>256</v>
      </c>
      <c r="H21" s="104">
        <v>0.0</v>
      </c>
      <c r="I21" s="37"/>
    </row>
    <row r="22">
      <c r="A22" s="103">
        <v>1.0</v>
      </c>
      <c r="B22" s="100" t="s">
        <v>49</v>
      </c>
      <c r="C22" s="37"/>
      <c r="D22" s="37"/>
      <c r="E22" s="65" t="s">
        <v>50</v>
      </c>
      <c r="F22" s="103">
        <v>1.0</v>
      </c>
      <c r="G22" s="100" t="s">
        <v>257</v>
      </c>
      <c r="H22" s="104">
        <v>0.0</v>
      </c>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258</v>
      </c>
    </row>
    <row r="2">
      <c r="B2" s="14" t="s">
        <v>259</v>
      </c>
      <c r="C2" s="76" t="s">
        <v>260</v>
      </c>
      <c r="D2" s="14" t="s">
        <v>259</v>
      </c>
    </row>
    <row r="3">
      <c r="B3" s="101">
        <v>100.0</v>
      </c>
      <c r="C3" s="76" t="s">
        <v>261</v>
      </c>
      <c r="D3" s="98">
        <f>(B3*(1/value(VLOOKUP(B2,MoneyRates!A:B,2,FALSE))))*value(VLOOKUP(D2,MoneyRates!A:B,2,FALSE))</f>
        <v>100</v>
      </c>
    </row>
    <row r="5">
      <c r="A5" s="38" t="s">
        <v>262</v>
      </c>
    </row>
    <row r="6">
      <c r="A6" s="14" t="s">
        <v>263</v>
      </c>
      <c r="B6" s="101">
        <v>100000.0</v>
      </c>
    </row>
    <row r="7">
      <c r="A7" s="14" t="s">
        <v>264</v>
      </c>
      <c r="B7" s="101">
        <v>0.0</v>
      </c>
    </row>
    <row r="8">
      <c r="A8" s="14" t="s">
        <v>265</v>
      </c>
      <c r="B8" s="101">
        <v>0.0</v>
      </c>
    </row>
    <row r="9">
      <c r="A9" s="14" t="s">
        <v>266</v>
      </c>
      <c r="B9" s="101">
        <v>0.0</v>
      </c>
    </row>
    <row r="10">
      <c r="A10" s="14" t="s">
        <v>267</v>
      </c>
      <c r="B10" s="101">
        <v>0.0</v>
      </c>
    </row>
    <row r="11">
      <c r="A11" s="14" t="s">
        <v>268</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Experienced Breeder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Poultrian</v>
      </c>
      <c r="C9" s="2"/>
      <c r="D9" s="13" t="str">
        <f>"🏹 Class: "&amp;IF(Leveler!I2,Leveler!K1&amp;CHAR(10)&amp;"Half Class: "&amp;Leveler!K2,Leveler!K1)</f>
        <v>🏹 Class: Monk
Half Class: Druid</v>
      </c>
      <c r="E9" s="2"/>
    </row>
    <row r="10">
      <c r="B10" s="11" t="str">
        <f>"⚔️ Attack: "&amp;Leveler!B18+F12</f>
        <v>⚔️ Attack: 219</v>
      </c>
      <c r="C10" s="11" t="str">
        <f>"🛡️ Defense: "&amp;Leveler!C18+G12</f>
        <v>🛡️ Defense: 6219</v>
      </c>
      <c r="D10" s="11" t="str">
        <f>"🎯 Accuracy: "&amp;Leveler!D18+H12</f>
        <v>🎯 Accuracy: 219</v>
      </c>
      <c r="E10" s="11" t="str">
        <f>"😇[P] Charisma: "&amp;Leveler!E20+I12</f>
        <v>😇[P] Charisma: 5</v>
      </c>
    </row>
    <row r="11">
      <c r="B11" s="19" t="str">
        <f>"🤯[P] Wisdom: "&amp;Leveler!F20+F14</f>
        <v>🤯[P] Wisdom: 5</v>
      </c>
      <c r="C11" s="11" t="str">
        <f>"❤️[P] Constitution: "&amp;Leveler!G20+G14</f>
        <v>❤️[P] Constitution: 75</v>
      </c>
      <c r="D11" s="11" t="str">
        <f>"🏃‍♀️[P] Evasion: "&amp;Leveler!H20+H14</f>
        <v>🏃‍♀️[P] Evasion: 9</v>
      </c>
      <c r="E11" s="11" t="str">
        <f>"😈[P] Intimidation: "&amp;Leveler!I20+I14</f>
        <v>😈[P] Intimidation: 5</v>
      </c>
    </row>
    <row r="12">
      <c r="B12" s="13" t="str">
        <f>"💡 Intelligence: "&amp;Leveler!K18</f>
        <v>💡 Intelligence: </v>
      </c>
      <c r="C12" s="2"/>
      <c r="D12" s="13" t="str">
        <f>"🏊‍♀🏃‍♀️[P]  Mobility: "&amp;Leveler!J20</f>
        <v>🏊‍♀🏃‍♀️[P]  Mobility: 9</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Gemini</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+4 Mobility +4 Evasion 
Days to hatch eggs are reduced by half after rolling 
Starts with the Sub-Class Breeder
Has dark-vision. </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Your Companions deal X4 additional damage.
Companions/Pets that hatched from eggs start at level 100
Nature Immune
Can use Wisdom when attacking with a hit/miss spell.
Enhanced Class Bonuses: Rank 9 in all elements (excluding Acoustic)
Your companions/pets get 1 additional action on their turn during battle..
+5 Can be added to your Charisma rolls while taming..
If a companion/pet under your control would die, it does not die once per battle.
The Shrine town service will cost nothing for you.</v>
      </c>
      <c r="C18" s="6"/>
      <c r="D18" s="6"/>
      <c r="E18" s="2"/>
    </row>
    <row r="19">
      <c r="B19" s="13" t="str">
        <f>Character!B20</f>
        <v>Other Bonuses: </v>
      </c>
      <c r="C19" s="6"/>
      <c r="D19" s="6"/>
      <c r="E19" s="2"/>
    </row>
    <row r="20">
      <c r="B20" s="13" t="str">
        <f>Character!B21</f>
        <v>Resistances: 
Vulnerabilities: </v>
      </c>
      <c r="C20" s="6"/>
      <c r="D20" s="6"/>
      <c r="E20" s="2"/>
    </row>
    <row r="21">
      <c r="B21" s="110" t="s">
        <v>269</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270</v>
      </c>
      <c r="I1" s="91"/>
      <c r="J1" s="91"/>
    </row>
    <row r="2">
      <c r="A2" s="96"/>
      <c r="B2" s="96"/>
      <c r="C2" s="91"/>
      <c r="D2" s="91"/>
      <c r="E2" s="91"/>
      <c r="F2" s="91"/>
      <c r="G2" s="91"/>
      <c r="H2" s="91"/>
      <c r="I2" s="91"/>
      <c r="J2" s="91"/>
    </row>
    <row r="3">
      <c r="A3" s="96" t="s">
        <v>24</v>
      </c>
      <c r="B3" s="96" t="s">
        <v>190</v>
      </c>
      <c r="C3" s="91" t="s">
        <v>221</v>
      </c>
      <c r="D3" s="91" t="s">
        <v>222</v>
      </c>
      <c r="E3" s="91" t="s">
        <v>223</v>
      </c>
      <c r="F3" s="91" t="s">
        <v>26</v>
      </c>
      <c r="G3" s="91" t="s">
        <v>224</v>
      </c>
      <c r="H3" s="91" t="s">
        <v>188</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271</v>
      </c>
      <c r="G1" s="38" t="s">
        <v>272</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0</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273</v>
      </c>
      <c r="B1" s="91" t="s">
        <v>274</v>
      </c>
      <c r="C1" s="91" t="s">
        <v>275</v>
      </c>
      <c r="D1" s="91" t="s">
        <v>86</v>
      </c>
      <c r="E1" s="91" t="s">
        <v>276</v>
      </c>
      <c r="F1" s="38" t="s">
        <v>271</v>
      </c>
      <c r="G1" s="39" t="s">
        <v>277</v>
      </c>
      <c r="H1" s="39" t="s">
        <v>278</v>
      </c>
      <c r="I1" s="39" t="s">
        <v>272</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279</v>
      </c>
      <c r="B1" s="38" t="s">
        <v>280</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281</v>
      </c>
      <c r="B1" s="14" t="s">
        <v>282</v>
      </c>
    </row>
    <row r="2">
      <c r="A2" s="14" t="s">
        <v>283</v>
      </c>
      <c r="B2" s="14" t="s">
        <v>284</v>
      </c>
    </row>
    <row r="3">
      <c r="A3" s="14" t="s">
        <v>285</v>
      </c>
      <c r="B3" s="14" t="s">
        <v>286</v>
      </c>
    </row>
    <row r="4">
      <c r="A4" s="14" t="s">
        <v>287</v>
      </c>
      <c r="B4" s="14" t="s">
        <v>288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289</v>
      </c>
      <c r="B1" s="16" t="s">
        <v>190</v>
      </c>
      <c r="C1" s="16" t="s">
        <v>290</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232</v>
      </c>
      <c r="E1" s="97" t="s">
        <v>233</v>
      </c>
      <c r="F1" s="97" t="s">
        <v>27</v>
      </c>
      <c r="G1" s="97" t="s">
        <v>234</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