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<sst xmlns="http://schemas.openxmlformats.org/spreadsheetml/2006/main" count="397" uniqueCount="275">
  <si>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</si>
  <si>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</si>
  <si>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</si>
  <si>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</si>
  <si>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</si>
  <si>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</si>
  <si>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</si>
  <si>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</si>
  <si>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</si>
  <si>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</si>
  <si>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</si>
  <si>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</si>
  <si>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</si>
  <si>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</si>
  <si>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</si>
  <si>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</si>
  <si>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</si>
  <si>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</si>
  <si>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</si>
  <si>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</si>
  <si>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</si>
  <si>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</si>
  <si>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</si>
  <si>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</si>
  <si>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</si>
  <si>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</si>
  <si>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</si>
  <si>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</si>
  <si>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</si>
  <si>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</si>
  <si>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</si>
  <si>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</si>
  <si>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</si>
  <si>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</si>
  <si>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</si>
  <si>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</si>
  <si>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</si>
  <si>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</si>
  <si>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</si>
  <si>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</si>
  <si>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</si>
  <si>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Revolver</t>
  </si>
  <si>
    <t>Hand</t>
  </si>
  <si>
    <t>🖐 (1) R. Hand: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</si>
  <si>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</si>
  <si>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</si>
  <si>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</si>
  <si>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</si>
  <si>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</si>
  <si>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</si>
  <si>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</si>
  <si>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</si>
  <si>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</si>
  <si>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</si>
  <si>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</si>
  <si>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</si>
  <si>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</si>
  <si>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</si>
  <si>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</si>
  <si>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</si>
  <si>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</si>
  <si>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</si>
  <si>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</si>
  <si>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</si>
  <si>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</si>
  <si>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</si>
  <si>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</si>
  <si>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</si>
  <si>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</si>
  <si>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</si>
  <si>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</si>
  <si>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</si>
  <si>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</si>
  <si>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</si>
  <si>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</si>
  <si>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</si>
  <si>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</si>
  <si>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</si>
  <si>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</si>
  <si>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</si>
  <si>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</si>
  <si>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</si>
  <si>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</si>
  <si>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</si>
  <si>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</si>
  <si>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</si>
  <si>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Mekanian</t>
  </si>
  <si>
    <t>Half Class</t>
  </si>
  <si>
    <t>Class:</t>
  </si>
  <si>
    <t>Monk</t>
  </si>
  <si>
    <t>Half Race:</t>
  </si>
  <si>
    <t>Half Class:</t>
  </si>
  <si>
    <t>Gunslinger</t>
  </si>
  <si>
    <t>Fire</t>
  </si>
  <si>
    <t>Enhanced Class:</t>
  </si>
  <si>
    <t>Grand Abbot</t>
  </si>
  <si>
    <t>Water</t>
  </si>
  <si>
    <t>Starting Town:</t>
  </si>
  <si>
    <t>Spell Slots Number:</t>
  </si>
  <si>
    <t>Enhanced Half Class:</t>
  </si>
  <si>
    <t>Dead Eye</t>
  </si>
  <si>
    <t>Storm</t>
  </si>
  <si>
    <t>HP</t>
  </si>
  <si>
    <t>Character Name:</t>
  </si>
  <si>
    <t>Gunsmith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</si>
  <si>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</si>
  <si>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</si>
  <si>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</si>
  <si>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</si>
  <si>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</si>
  <si>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</si>
  <si>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</si>
  <si>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</si>
  <si>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</si>
  <si>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</si>
  <si>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</si>
  <si>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</si>
  <si>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</si>
  <si>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</si>
  <si>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</si>
  <si>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</si>
  <si>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</si>
  <si>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</si>
  <si>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</si>
  <si>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</si>
  <si>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</si>
  <si>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</si>
  <si>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</si>
  <si>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</si>
  <si>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</si>
  <si>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</si>
  <si>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</si>
  <si>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</si>
  <si>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</si>
  <si>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</si>
  <si>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</si>
  <si>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</si>
  <si>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</si>
  <si>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</si>
  <si>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</si>
  <si>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</si>
  <si>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</si>
  <si>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</si>
  <si>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</si>
  <si>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</si>
  <si>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</si>
  <si>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</si>
  <si>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</si>
  <si>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</si>
  <si>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</si>
  <si>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</si>
  <si>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Guardians of The Forge</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</si>
  <si>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</si>
  <si>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</si>
  <si>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</si>
  <si>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</si>
  <si>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</si>
  <si>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</si>
  <si>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</si>
  <si>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</si>
  <si>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</si>
  <si>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</si>
  <si>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</si>
  <si>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</si>
  <si>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</si>
  <si>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</si>
  <si>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</si>
  <si>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</si>
  <si>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</si>
  <si>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</si>
  <si>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</si>
  <si>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</si>
  <si>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</si>
  <si>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</si>
  <si>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</si>
  <si>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</si>
  <si>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</si>
  <si>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</si>
  <si>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</si>
  <si>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</si>
  <si>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</si>
  <si>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</si>
  <si>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</si>
  <si>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</si>
  <si>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</si>
  <si>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</si>
  <si>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</si>
  <si>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</si>
  <si>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</si>
  <si>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</si>
  <si>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</si>
  <si>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</si>
  <si>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</si>
  <si>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</si>
  <si>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</si>
  <si>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</si>
  <si>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</si>
  <si>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</si>
  <si>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</si>
  <si>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</si>
  <si>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</si>
  <si>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</si>
  <si>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</si>
  <si>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</si>
  <si>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</si>
  <si>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</si>
  <si>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</si>
  <si>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</si>
  <si>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</si>
  <si>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</si>
  <si>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</si>
  <si>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</si>
  <si>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</si>
  <si>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</si>
  <si>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</si>
  <si>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</si>
  <si>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</si>
  <si>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</si>
  <si>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Lasso</t>
  </si>
  <si>
    <t>[Element] Shot</t>
  </si>
  <si>
    <t>Multishot</t>
  </si>
  <si>
    <t>Berserk</t>
  </si>
  <si>
    <t>Go For The Vitals</t>
  </si>
  <si>
    <t>Max Evade</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</si>
  <si>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</si>
  <si>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</si>
  <si>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</si>
  <si>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</si>
  <si>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</si>
  <si>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</si>
  <si>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</si>
  <si>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</si>
  <si>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</si>
  <si>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</si>
  <si>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</si>
  <si>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</si>
  <si>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</si>
  <si>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</si>
  <si>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</si>
  <si>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Firearm</t>
  </si>
  <si>
    <t>DMG: +5000, Blood DMG: +5000</t>
  </si>
  <si>
    <t>DMG: +5000, Blood DMG: +5001</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</si>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</sst>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Gunsmith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Construct</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Mekanian</v>
      </c>
      <c r="C10" s="2"/>
      <c r="D10" s="13" t="str">
        <f>"🏹 Class: "&amp;IF(Leveler!I2,Leveler!K1&amp;CHAR(10)&amp;"Half Class: "&amp;Leveler!K2,Leveler!K1)</f>
        <v>🏹 Class: Monk
Half Class: Gunslinger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78</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15</v>
      </c>
      <c r="E13" s="2"/>
      <c r="F13" s="14">
        <v>0.0</v>
      </c>
      <c r="G13" s="14">
        <v>0.0</v>
      </c>
      <c r="H13" s="14">
        <v>0.0</v>
      </c>
      <c r="I13" s="14">
        <v>0.0</v>
      </c>
      <c r="L13" s="22" t="s">
        <v>12</v>
      </c>
      <c r="M13" s="23"/>
    </row>
    <row r="14">
      <c r="B14" s="24" t="str">
        <f>"❤️ HP: "&amp;Leveler!B23-F11&amp;"/"&amp;Leveler!B23</f>
        <v>❤️ HP: 609/609</v>
      </c>
      <c r="C14" s="2"/>
      <c r="D14" s="24" t="str">
        <f>"🧪 SP: "&amp;Leveler!C23-G11&amp;"/"&amp;Leveler!C23</f>
        <v>🧪 SP: 609/609</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Construct: Must use batteries to restore energy and fuel to restore thirst/hunger/fuel. Immune to Spirit and Blood but deal Half Spirit and Blood damage.
+5 Mobility, +3 Constitution,
Has dark-vision. 
Immune to Poison.
Will not gain the “Undead or Spirit Ability” when choosing a class that has it.
Weapons deal X2 damage for the user.
Gain acess to the Natural Powers, Cooldown, Overcharge, and Recharge</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X6 damage with Firearms.
Starts with the exclusive power "Lasso"
Enhanced Class Bonuses: Rank 9 in all elements (excluding Acoustic)
X6 damage with Firearms.
Firearms ignore defense for the user.
+5 Mobility
Can use mobility when attacking with a Firearm</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
      </c>
      <c r="E42" s="16" t="str">
        <f>IFERROR(VLOOKUP($C42,Backpack!$B$10:$G1019,MATCH(E$34,Backpack!$B$9:$G$9,0),FALSE),"")</f>
        <v>Firearm</v>
      </c>
      <c r="F42" s="16" t="str">
        <f>IFERROR(VLOOKUP($C42,Backpack!$B$10:$G1019,MATCH(F$34,Backpack!$B$9:$G$9,0),FALSE),"")</f>
        <v>DMG: +5000, Blood DMG: +5000</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41</v>
      </c>
      <c r="D43" s="16" t="str">
        <f>IFERROR(VLOOKUP($C43,Backpack!$B$10:$G1019,MATCH(D$34,Backpack!$B$9:$G$9,0),FALSE),"")</f>
        <v/>
      </c>
      <c r="E43" s="16" t="str">
        <f>IFERROR(VLOOKUP($C43,Backpack!$B$10:$G1019,MATCH(E$34,Backpack!$B$9:$G$9,0),FALSE),"")</f>
        <v>Firearm</v>
      </c>
      <c r="F43" s="16" t="str">
        <f>IFERROR(VLOOKUP($C43,Backpack!$B$10:$G1019,MATCH(F$34,Backpack!$B$9:$G$9,0),FALSE),"")</f>
        <v>DMG: +5000, Blood DMG: +5000</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90</v>
      </c>
      <c r="H2" s="16"/>
      <c r="I2" s="14" t="b">
        <v>1</v>
      </c>
      <c r="J2" s="62" t="s">
        <v>91</v>
      </c>
      <c r="K2" s="14" t="s">
        <v>92</v>
      </c>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IFERROR(__xludf.DUMMYFUNCTION("FILTER(EnhancedClasses!$A$2:$B993,EnhancedClasses!$A$2:$A993=$K$2)"),"Gunslinger")</f>
        <v>Gunslinger</v>
      </c>
      <c r="Q3" s="16" t="str">
        <f>IFERROR(__xludf.DUMMYFUNCTION("""COMPUTED_VALUE"""),"Dead Eye")</f>
        <v>Dead Eye</v>
      </c>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6.0</v>
      </c>
      <c r="J4" s="69" t="s">
        <v>99</v>
      </c>
      <c r="K4" s="14" t="s">
        <v>100</v>
      </c>
      <c r="S4" s="65" t="s">
        <v>101</v>
      </c>
      <c r="T4" s="64"/>
      <c r="U4" s="37"/>
      <c r="V4" s="64"/>
      <c r="W4" s="37" t="str">
        <f>IFERROR(__xludf.DUMMYFUNCTION("""COMPUTED_VALUE"""),"Storm")</f>
        <v>Storm</v>
      </c>
      <c r="X4" s="66">
        <f>IFERROR(__xludf.DUMMYFUNCTION("""COMPUTED_VALUE"""),9.0)</f>
        <v>9</v>
      </c>
      <c r="Y4" s="67"/>
      <c r="Z4" s="37"/>
      <c r="AA4" s="37"/>
      <c r="AB4" s="64"/>
    </row>
    <row r="5">
      <c r="A5" s="62" t="s">
        <v>102</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103</v>
      </c>
      <c r="F5" s="14" t="s">
        <v>104</v>
      </c>
      <c r="J5" s="62" t="s">
        <v>105</v>
      </c>
      <c r="K5" s="16"/>
      <c r="S5" s="65" t="s">
        <v>106</v>
      </c>
      <c r="T5" s="64"/>
      <c r="U5" s="37"/>
      <c r="V5" s="37"/>
      <c r="W5" s="37" t="str">
        <f>IFERROR(__xludf.DUMMYFUNCTION("""COMPUTED_VALUE"""),"Earth")</f>
        <v>Earth</v>
      </c>
      <c r="X5" s="66">
        <f>IFERROR(__xludf.DUMMYFUNCTION("""COMPUTED_VALUE"""),9.0)</f>
        <v>9</v>
      </c>
      <c r="Y5" s="67"/>
      <c r="Z5" s="37"/>
      <c r="AA5" s="37"/>
      <c r="AB5" s="64"/>
    </row>
    <row r="6">
      <c r="A6" s="62" t="s">
        <v>107</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108</v>
      </c>
      <c r="F6" s="68"/>
      <c r="H6" s="70" t="s">
        <v>109</v>
      </c>
      <c r="I6" s="18" t="s">
        <v>110</v>
      </c>
      <c r="J6" s="62" t="s">
        <v>111</v>
      </c>
      <c r="K6" s="16"/>
      <c r="S6" s="65" t="s">
        <v>112</v>
      </c>
      <c r="T6" s="64"/>
      <c r="U6" s="37"/>
      <c r="V6" s="64"/>
      <c r="W6" s="37" t="str">
        <f>IFERROR(__xludf.DUMMYFUNCTION("""COMPUTED_VALUE"""),"Light")</f>
        <v>Light</v>
      </c>
      <c r="X6" s="66">
        <f>IFERROR(__xludf.DUMMYFUNCTION("""COMPUTED_VALUE"""),9.0)</f>
        <v>9</v>
      </c>
      <c r="Y6" s="67"/>
      <c r="Z6" s="37"/>
      <c r="AA6" s="37"/>
      <c r="AB6" s="64"/>
    </row>
    <row r="7">
      <c r="A7" s="62" t="s">
        <v>113</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114</v>
      </c>
      <c r="F7" s="68"/>
      <c r="H7" s="71" t="s">
        <v>115</v>
      </c>
      <c r="I7" s="21" t="str">
        <f>IFERROR(VLOOKUP($I$6,AstrologicalSigns!$A$2:$D993,2,FALSE),"")</f>
        <v>The Bull</v>
      </c>
      <c r="J7" s="62" t="s">
        <v>116</v>
      </c>
      <c r="K7" s="16"/>
      <c r="S7" s="65" t="s">
        <v>117</v>
      </c>
      <c r="T7" s="64"/>
      <c r="U7" s="37"/>
      <c r="V7" s="64"/>
      <c r="W7" s="37" t="str">
        <f>IFERROR(__xludf.DUMMYFUNCTION("""COMPUTED_VALUE"""),"Dark")</f>
        <v>Dark</v>
      </c>
      <c r="X7" s="66">
        <f>IFERROR(__xludf.DUMMYFUNCTION("""COMPUTED_VALUE"""),9.0)</f>
        <v>9</v>
      </c>
      <c r="Y7" s="67"/>
      <c r="Z7" s="37"/>
      <c r="AA7" s="37"/>
      <c r="AB7" s="64"/>
    </row>
    <row r="8">
      <c r="A8" s="62" t="s">
        <v>118</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119</v>
      </c>
      <c r="F8" s="68"/>
      <c r="H8" s="72" t="s">
        <v>25</v>
      </c>
      <c r="I8" s="35"/>
      <c r="S8" s="65" t="s">
        <v>120</v>
      </c>
      <c r="T8" s="64"/>
      <c r="U8" s="37"/>
      <c r="V8" s="37"/>
      <c r="W8" s="37" t="str">
        <f>IFERROR(__xludf.DUMMYFUNCTION("""COMPUTED_VALUE"""),"Spirit")</f>
        <v>Spirit</v>
      </c>
      <c r="X8" s="66">
        <f>IFERROR(__xludf.DUMMYFUNCTION("""COMPUTED_VALUE"""),9.0)</f>
        <v>9</v>
      </c>
      <c r="Y8" s="67"/>
      <c r="Z8" s="37"/>
      <c r="AA8" s="37"/>
      <c r="AB8" s="64"/>
    </row>
    <row r="9">
      <c r="A9" s="62" t="s">
        <v>121</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122</v>
      </c>
      <c r="F9" s="68"/>
      <c r="H9" s="73" t="str">
        <f>IFERROR(VLOOKUP($I$6,AstrologicalSigns!$A$2:$D993,3,FALSE),"")</f>
        <v>During each of your turns in battle, you get 1 additional weapon attack as long as you attacked with a weapon.</v>
      </c>
      <c r="I9" s="35"/>
      <c r="J9" s="62" t="s">
        <v>123</v>
      </c>
      <c r="S9" s="65" t="s">
        <v>124</v>
      </c>
      <c r="T9" s="64"/>
      <c r="U9" s="37"/>
      <c r="V9" s="37"/>
      <c r="W9" s="37" t="str">
        <f>IFERROR(__xludf.DUMMYFUNCTION("""COMPUTED_VALUE"""),"Order")</f>
        <v>Order</v>
      </c>
      <c r="X9" s="37">
        <f>IFERROR(__xludf.DUMMYFUNCTION("""COMPUTED_VALUE"""),9.0)</f>
        <v>9</v>
      </c>
      <c r="Y9" s="67"/>
      <c r="Z9" s="37"/>
      <c r="AA9" s="37"/>
      <c r="AB9" s="64"/>
    </row>
    <row r="10">
      <c r="E10" s="62" t="s">
        <v>125</v>
      </c>
      <c r="F10" s="16"/>
      <c r="H10" s="74"/>
      <c r="I10" s="35"/>
      <c r="S10" s="65" t="s">
        <v>126</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127</v>
      </c>
      <c r="T11" s="64"/>
      <c r="U11" s="37"/>
      <c r="V11" s="37"/>
      <c r="W11" s="37" t="str">
        <f>IFERROR(__xludf.DUMMYFUNCTION("""COMPUTED_VALUE"""),"Nature")</f>
        <v>Nature</v>
      </c>
      <c r="X11" s="37">
        <f>IFERROR(__xludf.DUMMYFUNCTION("""COMPUTED_VALUE"""),9.0)</f>
        <v>9</v>
      </c>
      <c r="Y11" s="67"/>
      <c r="Z11" s="37"/>
      <c r="AA11" s="37"/>
      <c r="AB11" s="64"/>
    </row>
    <row r="12">
      <c r="B12" s="38" t="s">
        <v>128</v>
      </c>
      <c r="C12" s="38" t="s">
        <v>129</v>
      </c>
      <c r="E12" s="62" t="str">
        <f>"Damage Orb ("&amp;IF(ISBLANK(F12),0,1)&amp;"/1):"</f>
        <v>Damage Orb (0/1):</v>
      </c>
      <c r="F12" s="14"/>
      <c r="G12" s="62" t="s">
        <v>130</v>
      </c>
      <c r="H12" s="14"/>
      <c r="I12" s="75" t="s">
        <v>131</v>
      </c>
      <c r="J12" s="14" t="str">
        <f>Config!B3</f>
        <v>1mNoojYCRU_5eQ4skcH3ywN5n3JMKPeua1AFji0FLWdI</v>
      </c>
      <c r="S12" s="65" t="s">
        <v>132</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133</v>
      </c>
      <c r="H13" s="14"/>
      <c r="J13" s="16"/>
      <c r="S13" s="65" t="s">
        <v>134</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135</v>
      </c>
      <c r="F14" s="14"/>
      <c r="G14" s="62" t="s">
        <v>136</v>
      </c>
      <c r="H14" s="14"/>
      <c r="J14" s="14" t="s">
        <v>137</v>
      </c>
      <c r="S14" s="65" t="s">
        <v>138</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139</v>
      </c>
      <c r="F15" s="16"/>
      <c r="S15" s="65" t="s">
        <v>140</v>
      </c>
      <c r="T15" s="64"/>
      <c r="U15" s="37"/>
      <c r="V15" s="37"/>
      <c r="W15" s="37" t="str">
        <f>IFERROR(__xludf.DUMMYFUNCTION("""COMPUTED_VALUE"""),"Stasis")</f>
        <v>Stasis</v>
      </c>
      <c r="X15" s="37">
        <f>IFERROR(__xludf.DUMMYFUNCTION("""COMPUTED_VALUE"""),9.0)</f>
        <v>9</v>
      </c>
      <c r="Y15" s="67"/>
      <c r="Z15" s="37"/>
      <c r="AA15" s="37"/>
      <c r="AB15" s="64"/>
    </row>
    <row r="16">
      <c r="S16" s="65" t="s">
        <v>141</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142</v>
      </c>
      <c r="K17" s="38"/>
      <c r="S17" s="65" t="s">
        <v>143</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144</v>
      </c>
      <c r="T18" s="64"/>
      <c r="U18" s="37"/>
      <c r="V18" s="37"/>
      <c r="W18" s="37" t="str">
        <f>IFERROR(__xludf.DUMMYFUNCTION("""COMPUTED_VALUE"""),"Blood")</f>
        <v>Blood</v>
      </c>
      <c r="X18" s="37">
        <f>IFERROR(__xludf.DUMMYFUNCTION("""COMPUTED_VALUE"""),9.0)</f>
        <v>9</v>
      </c>
      <c r="Y18" s="67"/>
      <c r="Z18" s="37"/>
      <c r="AA18" s="37"/>
      <c r="AB18" s="64"/>
    </row>
    <row r="19">
      <c r="D19" s="75" t="s">
        <v>145</v>
      </c>
      <c r="E19" s="76"/>
      <c r="F19" s="76"/>
      <c r="G19" s="76"/>
      <c r="H19" s="76"/>
      <c r="I19" s="76"/>
      <c r="J19" s="76"/>
      <c r="S19" s="65" t="s">
        <v>146</v>
      </c>
      <c r="T19" s="64"/>
      <c r="U19" s="37"/>
      <c r="V19" s="37"/>
      <c r="W19" s="37" t="str">
        <f>IFERROR(__xludf.DUMMYFUNCTION("""COMPUTED_VALUE"""),"Delta")</f>
        <v>Delta</v>
      </c>
      <c r="X19" s="37">
        <f>IFERROR(__xludf.DUMMYFUNCTION("""COMPUTED_VALUE"""),9.0)</f>
        <v>9</v>
      </c>
      <c r="Y19" s="67"/>
      <c r="Z19" s="37"/>
      <c r="AA19" s="37"/>
      <c r="AB19" s="64"/>
    </row>
    <row r="20">
      <c r="D20" s="75" t="s">
        <v>147</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78</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15</v>
      </c>
      <c r="S20" s="65" t="s">
        <v>148</v>
      </c>
      <c r="T20" s="37"/>
      <c r="U20" s="37"/>
      <c r="V20" s="37"/>
      <c r="W20" s="37" t="str">
        <f>IFERROR(__xludf.DUMMYFUNCTION("""COMPUTED_VALUE"""),"Zen")</f>
        <v>Zen</v>
      </c>
      <c r="X20" s="37">
        <f>IFERROR(__xludf.DUMMYFUNCTION("""COMPUTED_VALUE"""),9.0)</f>
        <v>9</v>
      </c>
      <c r="Y20" s="67"/>
      <c r="Z20" s="37"/>
      <c r="AA20" s="37"/>
      <c r="AB20" s="64"/>
    </row>
    <row r="21">
      <c r="S21" s="65" t="s">
        <v>149</v>
      </c>
      <c r="T21" s="37"/>
      <c r="U21" s="37"/>
      <c r="V21" s="37"/>
      <c r="W21" s="37" t="str">
        <f>IFERROR(__xludf.DUMMYFUNCTION("""COMPUTED_VALUE"""),"Astral")</f>
        <v>Astral</v>
      </c>
      <c r="X21" s="37">
        <f>IFERROR(__xludf.DUMMYFUNCTION("""COMPUTED_VALUE"""),9.0)</f>
        <v>9</v>
      </c>
      <c r="Y21" s="67"/>
      <c r="Z21" s="37"/>
      <c r="AA21" s="37"/>
      <c r="AB21" s="64"/>
    </row>
    <row r="22">
      <c r="B22" s="38" t="s">
        <v>102</v>
      </c>
      <c r="C22" s="38" t="s">
        <v>107</v>
      </c>
      <c r="D22" s="38" t="s">
        <v>113</v>
      </c>
      <c r="E22" s="38" t="s">
        <v>118</v>
      </c>
      <c r="F22" s="38" t="s">
        <v>121</v>
      </c>
      <c r="H22" s="81" t="s">
        <v>150</v>
      </c>
      <c r="I22" s="82" t="s">
        <v>151</v>
      </c>
      <c r="J22" s="83"/>
      <c r="K22" s="83"/>
      <c r="L22" s="84"/>
      <c r="S22" s="65" t="s">
        <v>152</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609</v>
      </c>
      <c r="C23" s="77">
        <f>(B6+C6+D6)+((B13-1)*IF(E2,2,1))+(G20*5)+SUM(F28:F48)</f>
        <v>609</v>
      </c>
      <c r="D23" s="77">
        <f>(B7+C7+D7)+((B13-1)*IF(E2,2,1))+SUM(G28:G48)</f>
        <v>219</v>
      </c>
      <c r="E23" s="77">
        <f>(B8+C8+D8)+((B13-1)*IF(E2,2,1))+SUM(H28:H48)</f>
        <v>219</v>
      </c>
      <c r="F23" s="77">
        <f>(B9+C9+D9)+((B13-1)*IF(E2,2,1))+SUM(I28:I48)</f>
        <v>219</v>
      </c>
      <c r="H23" s="71" t="s">
        <v>153</v>
      </c>
      <c r="I23" s="42" t="str">
        <f>IFERROR(VLOOKUP($I$22,Factions!$A$2:$Z993,MATCH("Faction Ability 1",Factions!$A$1:$Z$1,0),FALSE)&amp;" - "&amp;VLOOKUP($I$22,Factions!$A$2:$Z993,MATCH("Ability Description 1",Factions!$A$1:$Z$1,0),FALSE),"")</f>
        <v>Burning Might - Burn damage dealt to enemies is doubled.</v>
      </c>
      <c r="L23" s="35"/>
      <c r="S23" s="65" t="s">
        <v>154</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Forged in Fire. - Forged weapons deal an additional X2 damage.</v>
      </c>
      <c r="L24" s="35"/>
      <c r="S24" s="65" t="s">
        <v>155</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Unbreaking Steel - The first time you attempt a forge roll that fails it does not fail once per forge.</v>
      </c>
      <c r="J25" s="88"/>
      <c r="K25" s="88"/>
      <c r="L25" s="8"/>
    </row>
    <row r="26">
      <c r="A26" s="75"/>
      <c r="S26" s="16" t="b">
        <f>IF(ISBLANK($F$10),FALSE,IF(VLOOKUP($I$22,Factions!$A$2:$Z993,MATCH($F$10,Factions!$A$1:$Z$1,0),FALSE),FALSE,TRUE))</f>
        <v>0</v>
      </c>
    </row>
    <row r="27">
      <c r="B27" s="62" t="s">
        <v>156</v>
      </c>
      <c r="C27" s="62" t="s">
        <v>157</v>
      </c>
      <c r="D27" s="62" t="s">
        <v>158</v>
      </c>
      <c r="E27" s="62" t="s">
        <v>159</v>
      </c>
      <c r="F27" s="62" t="s">
        <v>160</v>
      </c>
      <c r="G27" s="62" t="s">
        <v>161</v>
      </c>
      <c r="H27" s="62" t="s">
        <v>162</v>
      </c>
      <c r="I27" s="62" t="s">
        <v>163</v>
      </c>
    </row>
    <row r="28">
      <c r="A28" s="76" t="s">
        <v>29</v>
      </c>
      <c r="B28" s="47"/>
      <c r="C28" s="47"/>
      <c r="D28" s="47"/>
      <c r="E28" s="47"/>
      <c r="F28" s="47"/>
      <c r="G28" s="47"/>
      <c r="H28" s="47"/>
      <c r="I28" s="47"/>
    </row>
    <row r="29">
      <c r="A29" s="76" t="s">
        <v>164</v>
      </c>
      <c r="B29" s="47"/>
      <c r="C29" s="47"/>
      <c r="D29" s="47"/>
      <c r="E29" s="47"/>
      <c r="F29" s="47"/>
      <c r="G29" s="47"/>
      <c r="H29" s="47"/>
      <c r="I29" s="47"/>
    </row>
    <row r="30">
      <c r="A30" s="76" t="s">
        <v>165</v>
      </c>
      <c r="B30" s="47"/>
      <c r="C30" s="47"/>
      <c r="D30" s="47"/>
      <c r="E30" s="47"/>
      <c r="F30" s="47"/>
      <c r="G30" s="47"/>
      <c r="H30" s="47"/>
      <c r="I30" s="47"/>
    </row>
    <row r="31">
      <c r="A31" s="76" t="s">
        <v>166</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167</v>
      </c>
      <c r="B35" s="47"/>
      <c r="C35" s="47"/>
      <c r="D35" s="47"/>
      <c r="E35" s="47"/>
      <c r="F35" s="47"/>
      <c r="G35" s="47"/>
      <c r="H35" s="47"/>
      <c r="I35" s="47"/>
    </row>
    <row r="36">
      <c r="A36" s="76" t="s">
        <v>168</v>
      </c>
      <c r="B36" s="47"/>
      <c r="C36" s="47"/>
      <c r="D36" s="47"/>
      <c r="E36" s="47"/>
      <c r="F36" s="47"/>
      <c r="G36" s="47"/>
      <c r="H36" s="47"/>
      <c r="I36" s="47"/>
    </row>
    <row r="37">
      <c r="A37" s="76" t="s">
        <v>169</v>
      </c>
      <c r="B37" s="47"/>
      <c r="C37" s="47"/>
      <c r="D37" s="47"/>
      <c r="E37" s="47"/>
      <c r="F37" s="47"/>
      <c r="G37" s="47"/>
      <c r="H37" s="47"/>
      <c r="I37" s="47"/>
    </row>
    <row r="38">
      <c r="A38" s="76" t="s">
        <v>170</v>
      </c>
      <c r="B38" s="47"/>
      <c r="C38" s="47"/>
      <c r="D38" s="47"/>
      <c r="E38" s="47"/>
      <c r="F38" s="47"/>
      <c r="G38" s="47"/>
      <c r="H38" s="47"/>
      <c r="I38" s="47"/>
    </row>
    <row r="39">
      <c r="A39" s="76" t="s">
        <v>171</v>
      </c>
      <c r="B39" s="47"/>
      <c r="C39" s="47"/>
      <c r="D39" s="47"/>
      <c r="E39" s="47"/>
      <c r="F39" s="47"/>
      <c r="G39" s="47"/>
      <c r="H39" s="47"/>
      <c r="I39" s="47"/>
    </row>
    <row r="40">
      <c r="A40" s="76" t="s">
        <v>172</v>
      </c>
      <c r="B40" s="47"/>
      <c r="C40" s="47"/>
      <c r="D40" s="47"/>
      <c r="E40" s="47"/>
      <c r="F40" s="47"/>
      <c r="G40" s="47"/>
      <c r="H40" s="47"/>
      <c r="I40" s="47"/>
    </row>
    <row r="41">
      <c r="A41" s="76" t="s">
        <v>173</v>
      </c>
      <c r="B41" s="47"/>
      <c r="C41" s="47"/>
      <c r="D41" s="47"/>
      <c r="E41" s="47"/>
      <c r="F41" s="47"/>
      <c r="G41" s="47"/>
      <c r="H41" s="47"/>
      <c r="I41" s="47"/>
    </row>
    <row r="42">
      <c r="A42" s="76" t="s">
        <v>174</v>
      </c>
      <c r="B42" s="47"/>
      <c r="C42" s="47"/>
      <c r="D42" s="47"/>
      <c r="E42" s="47"/>
      <c r="F42" s="47"/>
      <c r="G42" s="47"/>
      <c r="H42" s="47"/>
      <c r="I42" s="47"/>
    </row>
    <row r="43">
      <c r="A43" s="76" t="s">
        <v>175</v>
      </c>
      <c r="B43" s="47"/>
      <c r="C43" s="47"/>
      <c r="D43" s="47"/>
      <c r="E43" s="47"/>
      <c r="F43" s="47"/>
      <c r="G43" s="47"/>
      <c r="H43" s="47"/>
      <c r="I43" s="47"/>
    </row>
    <row r="44">
      <c r="A44" s="76" t="s">
        <v>176</v>
      </c>
      <c r="B44" s="47"/>
      <c r="C44" s="47"/>
      <c r="D44" s="47"/>
      <c r="E44" s="47"/>
      <c r="F44" s="47"/>
      <c r="G44" s="47"/>
      <c r="H44" s="47"/>
      <c r="I44" s="47"/>
    </row>
    <row r="45">
      <c r="A45" s="76" t="s">
        <v>177</v>
      </c>
      <c r="B45" s="47"/>
      <c r="C45" s="47"/>
      <c r="D45" s="47"/>
      <c r="E45" s="47"/>
      <c r="F45" s="47"/>
      <c r="G45" s="47"/>
      <c r="H45" s="47"/>
      <c r="I45" s="47"/>
    </row>
    <row r="46">
      <c r="A46" s="76" t="s">
        <v>178</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179</v>
      </c>
    </row>
    <row r="52">
      <c r="A52" s="38" t="s">
        <v>180</v>
      </c>
      <c r="B52" s="38" t="s">
        <v>181</v>
      </c>
      <c r="C52" s="38" t="s">
        <v>182</v>
      </c>
      <c r="E52" s="38"/>
    </row>
    <row r="53">
      <c r="A53" s="14" t="s">
        <v>183</v>
      </c>
      <c r="B53" s="14" t="b">
        <v>0</v>
      </c>
      <c r="C53" s="16"/>
    </row>
    <row r="54">
      <c r="A54" s="14" t="s">
        <v>184</v>
      </c>
      <c r="B54" s="14" t="b">
        <v>0</v>
      </c>
      <c r="C54" s="16"/>
    </row>
    <row r="55">
      <c r="A55" s="14" t="s">
        <v>185</v>
      </c>
      <c r="B55" s="14" t="b">
        <v>0</v>
      </c>
      <c r="C55" s="16"/>
    </row>
    <row r="56">
      <c r="A56" s="14" t="s">
        <v>186</v>
      </c>
      <c r="B56" s="14" t="b">
        <v>0</v>
      </c>
      <c r="C56" s="16"/>
    </row>
    <row r="57">
      <c r="A57" s="14" t="s">
        <v>187</v>
      </c>
      <c r="B57" s="14" t="b">
        <v>0</v>
      </c>
      <c r="C57" s="16"/>
    </row>
    <row r="58">
      <c r="A58" s="14" t="s">
        <v>188</v>
      </c>
      <c r="B58" s="14" t="b">
        <v>0</v>
      </c>
      <c r="C58" s="16"/>
    </row>
    <row r="59">
      <c r="A59" s="14" t="s">
        <v>189</v>
      </c>
      <c r="B59" s="14" t="b">
        <v>0</v>
      </c>
      <c r="C59" s="16"/>
    </row>
    <row r="60">
      <c r="A60" s="14" t="s">
        <v>190</v>
      </c>
      <c r="B60" s="14" t="b">
        <v>0</v>
      </c>
      <c r="C60" s="16"/>
    </row>
    <row r="61">
      <c r="A61" s="14" t="s">
        <v>191</v>
      </c>
      <c r="B61" s="14" t="b">
        <v>0</v>
      </c>
      <c r="C61" s="16"/>
    </row>
    <row r="62">
      <c r="A62" s="14" t="s">
        <v>192</v>
      </c>
      <c r="B62" s="14" t="b">
        <v>0</v>
      </c>
      <c r="C62" s="16"/>
    </row>
    <row r="63">
      <c r="A63" s="14" t="s">
        <v>193</v>
      </c>
      <c r="B63" s="14" t="b">
        <v>0</v>
      </c>
      <c r="C63" s="16"/>
    </row>
    <row r="64">
      <c r="A64" s="14" t="s">
        <v>194</v>
      </c>
      <c r="B64" s="14" t="b">
        <v>0</v>
      </c>
      <c r="C64" s="16"/>
    </row>
    <row r="65">
      <c r="A65" s="14" t="s">
        <v>195</v>
      </c>
      <c r="B65" s="14" t="b">
        <v>0</v>
      </c>
      <c r="C65" s="16"/>
    </row>
    <row r="66">
      <c r="A66" s="14" t="s">
        <v>196</v>
      </c>
      <c r="B66" s="14" t="b">
        <v>0</v>
      </c>
      <c r="C66" s="16"/>
    </row>
    <row r="67">
      <c r="A67" s="14" t="s">
        <v>197</v>
      </c>
      <c r="B67" s="14" t="b">
        <v>0</v>
      </c>
      <c r="C67" s="16"/>
    </row>
    <row r="68">
      <c r="A68" s="14" t="s">
        <v>198</v>
      </c>
      <c r="B68" s="14" t="b">
        <v>0</v>
      </c>
      <c r="C68" s="16"/>
    </row>
    <row r="69">
      <c r="A69" s="14" t="s">
        <v>199</v>
      </c>
      <c r="B69" s="14" t="b">
        <v>0</v>
      </c>
      <c r="C69" s="16"/>
    </row>
    <row r="70">
      <c r="A70" s="14" t="s">
        <v>200</v>
      </c>
      <c r="B70" s="14" t="b">
        <v>0</v>
      </c>
      <c r="C70" s="16"/>
    </row>
    <row r="71">
      <c r="A71" s="14" t="s">
        <v>201</v>
      </c>
      <c r="B71" s="14" t="b">
        <v>0</v>
      </c>
      <c r="C71" s="16"/>
    </row>
    <row r="72">
      <c r="A72" s="14" t="s">
        <v>202</v>
      </c>
      <c r="B72" s="14" t="b">
        <v>0</v>
      </c>
      <c r="C72" s="16"/>
    </row>
    <row r="73">
      <c r="A73" s="14" t="s">
        <v>203</v>
      </c>
      <c r="B73" s="14" t="b">
        <v>0</v>
      </c>
      <c r="C73" s="16"/>
    </row>
    <row r="74">
      <c r="A74" s="14" t="s">
        <v>204</v>
      </c>
      <c r="B74" s="14" t="b">
        <v>0</v>
      </c>
      <c r="C74" s="16"/>
    </row>
    <row r="75">
      <c r="A75" s="14" t="s">
        <v>205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206</v>
      </c>
      <c r="B1" s="14" t="s">
        <v>207</v>
      </c>
      <c r="C1" s="14" t="s">
        <v>208</v>
      </c>
      <c r="D1" s="14" t="s">
        <v>209</v>
      </c>
      <c r="E1" s="14" t="s">
        <v>179</v>
      </c>
      <c r="F1" s="14" t="s">
        <v>210</v>
      </c>
      <c r="G1" s="14" t="s">
        <v>211</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101</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106</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112</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117</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120</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124</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126</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127</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149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182</v>
      </c>
      <c r="C1" s="90" t="s">
        <v>213</v>
      </c>
      <c r="D1" s="90" t="s">
        <v>214</v>
      </c>
      <c r="E1" s="90" t="s">
        <v>215</v>
      </c>
      <c r="F1" s="90" t="s">
        <v>26</v>
      </c>
      <c r="G1" s="90" t="s">
        <v>216</v>
      </c>
      <c r="H1" s="90" t="s">
        <v>180</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218</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219</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220</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221</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222</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223</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IFERROR(__xludf.DUMMYFUNCTION("""COMPUTED_VALUE"""),"Lasso")</f>
        <v>Lasso</v>
      </c>
      <c r="B208" s="16">
        <f>IFERROR(__xludf.DUMMYFUNCTION("""COMPUTED_VALUE"""),1.0)</f>
        <v>1</v>
      </c>
      <c r="C208" s="16">
        <f>IFERROR(__xludf.DUMMYFUNCTION("""COMPUTED_VALUE"""),0.0)</f>
        <v>0</v>
      </c>
      <c r="D208" s="16"/>
      <c r="E208"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208" s="16" t="str">
        <f>IFERROR(__xludf.DUMMYFUNCTION("""COMPUTED_VALUE"""),"Natural/Hit or Miss")</f>
        <v>Natural/Hit or Miss</v>
      </c>
      <c r="G208" s="16">
        <f>IFERROR(__xludf.DUMMYFUNCTION("""COMPUTED_VALUE"""),1.0)</f>
        <v>1</v>
      </c>
      <c r="H208" s="16" t="str">
        <f>IFERROR(__xludf.DUMMYFUNCTION("""COMPUTED_VALUE"""),"Physical")</f>
        <v>Physical</v>
      </c>
    </row>
    <row r="209">
      <c r="A209" s="16" t="str">
        <f>IFERROR(__xludf.DUMMYFUNCTION("""COMPUTED_VALUE"""),"Meditate")</f>
        <v>Meditate</v>
      </c>
      <c r="B209" s="16">
        <f>IFERROR(__xludf.DUMMYFUNCTION("""COMPUTED_VALUE"""),6.0)</f>
        <v>6</v>
      </c>
      <c r="C209" s="16" t="str">
        <f>IFERROR(__xludf.DUMMYFUNCTION("""COMPUTED_VALUE"""),"X")</f>
        <v>X</v>
      </c>
      <c r="D209" s="16"/>
      <c r="E209" s="16" t="str">
        <f>IFERROR(__xludf.DUMMYFUNCTION("""COMPUTED_VALUE"""),"Regain X*100 HP")</f>
        <v>Regain X*100 HP</v>
      </c>
      <c r="F209" s="16" t="str">
        <f>IFERROR(__xludf.DUMMYFUNCTION("""COMPUTED_VALUE"""),"Will succeed")</f>
        <v>Will succeed</v>
      </c>
      <c r="G209" s="16"/>
      <c r="H209" s="16" t="str">
        <f>IFERROR(__xludf.DUMMYFUNCTION("""COMPUTED_VALUE"""),"Physical")</f>
        <v>Physical</v>
      </c>
    </row>
    <row r="210">
      <c r="A210" s="16" t="str">
        <f>IFERROR(__xludf.DUMMYFUNCTION("""COMPUTED_VALUE"""),"Parry")</f>
        <v>Parry</v>
      </c>
      <c r="B210" s="16">
        <f>IFERROR(__xludf.DUMMYFUNCTION("""COMPUTED_VALUE"""),1.0)</f>
        <v>1</v>
      </c>
      <c r="C210" s="16">
        <f>IFERROR(__xludf.DUMMYFUNCTION("""COMPUTED_VALUE"""),0.0)</f>
        <v>0</v>
      </c>
      <c r="D210" s="16"/>
      <c r="E210" s="16" t="str">
        <f>IFERROR(__xludf.DUMMYFUNCTION("""COMPUTED_VALUE"""),"(requires a weapon be equipped) parry the next weapon attack as per the handbook ability: Parry")</f>
        <v>(requires a weapon be equipped) parry the next weapon attack as per the handbook ability: Parry</v>
      </c>
      <c r="F210" s="16" t="str">
        <f>IFERROR(__xludf.DUMMYFUNCTION("""COMPUTED_VALUE"""),"Natural/Fail or Succeed")</f>
        <v>Natural/Fail or Succeed</v>
      </c>
      <c r="G210" s="16" t="str">
        <f>IFERROR(__xludf.DUMMYFUNCTION("""COMPUTED_VALUE"""),"Self")</f>
        <v>Self</v>
      </c>
      <c r="H210" s="16" t="str">
        <f>IFERROR(__xludf.DUMMYFUNCTION("""COMPUTED_VALUE"""),"Physical")</f>
        <v>Physical</v>
      </c>
    </row>
    <row r="211">
      <c r="A211" s="16" t="str">
        <f>IFERROR(__xludf.DUMMYFUNCTION("""COMPUTED_VALUE"""),"Pay Back")</f>
        <v>Pay Back</v>
      </c>
      <c r="B211" s="16">
        <f>IFERROR(__xludf.DUMMYFUNCTION("""COMPUTED_VALUE"""),9.0)</f>
        <v>9</v>
      </c>
      <c r="C211" s="16">
        <f>IFERROR(__xludf.DUMMYFUNCTION("""COMPUTED_VALUE"""),300.0)</f>
        <v>300</v>
      </c>
      <c r="D211" s="16"/>
      <c r="E211"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1" s="16" t="str">
        <f>IFERROR(__xludf.DUMMYFUNCTION("""COMPUTED_VALUE"""),"Fail/Succeed")</f>
        <v>Fail/Succeed</v>
      </c>
      <c r="G211" s="16">
        <f>IFERROR(__xludf.DUMMYFUNCTION("""COMPUTED_VALUE"""),1.0)</f>
        <v>1</v>
      </c>
      <c r="H211" s="16" t="str">
        <f>IFERROR(__xludf.DUMMYFUNCTION("""COMPUTED_VALUE"""),"Physical")</f>
        <v>Physical</v>
      </c>
    </row>
    <row r="212">
      <c r="A212" s="16" t="str">
        <f>IFERROR(__xludf.DUMMYFUNCTION("""COMPUTED_VALUE"""),"Power Increase")</f>
        <v>Power Increase</v>
      </c>
      <c r="B212" s="16">
        <f>IFERROR(__xludf.DUMMYFUNCTION("""COMPUTED_VALUE"""),9.0)</f>
        <v>9</v>
      </c>
      <c r="C212" s="16">
        <f>IFERROR(__xludf.DUMMYFUNCTION("""COMPUTED_VALUE"""),300.0)</f>
        <v>300</v>
      </c>
      <c r="D212" s="16"/>
      <c r="E212" s="16" t="str">
        <f>IFERROR(__xludf.DUMMYFUNCTION("""COMPUTED_VALUE"""),"Gain 20000 attack and accuracy for 3 rounds.")</f>
        <v>Gain 20000 attack and accuracy for 3 rounds.</v>
      </c>
      <c r="F212" s="16" t="str">
        <f>IFERROR(__xludf.DUMMYFUNCTION("""COMPUTED_VALUE"""),"Will Succeed")</f>
        <v>Will Succeed</v>
      </c>
      <c r="G212" s="16"/>
      <c r="H212" s="16" t="str">
        <f>IFERROR(__xludf.DUMMYFUNCTION("""COMPUTED_VALUE"""),"Physical")</f>
        <v>Physical</v>
      </c>
    </row>
    <row r="213">
      <c r="A213" s="16" t="str">
        <f>IFERROR(__xludf.DUMMYFUNCTION("""COMPUTED_VALUE"""),"Punch")</f>
        <v>Punch</v>
      </c>
      <c r="B213" s="16">
        <f>IFERROR(__xludf.DUMMYFUNCTION("""COMPUTED_VALUE"""),1.0)</f>
        <v>1</v>
      </c>
      <c r="C213" s="16">
        <f>IFERROR(__xludf.DUMMYFUNCTION("""COMPUTED_VALUE"""),0.0)</f>
        <v>0</v>
      </c>
      <c r="D213" s="16"/>
      <c r="E213" s="16" t="str">
        <f>IFERROR(__xludf.DUMMYFUNCTION("""COMPUTED_VALUE"""),"X*2 Damage of your primary element Where X is equal to your attack.")</f>
        <v>X*2 Damage of your primary element Where X is equal to your attack.</v>
      </c>
      <c r="F213" s="16" t="str">
        <f>IFERROR(__xludf.DUMMYFUNCTION("""COMPUTED_VALUE"""),"Natural/Hit or Miss")</f>
        <v>Natural/Hit or Miss</v>
      </c>
      <c r="G213" s="16">
        <f>IFERROR(__xludf.DUMMYFUNCTION("""COMPUTED_VALUE"""),1.0)</f>
        <v>1</v>
      </c>
      <c r="H213" s="16" t="str">
        <f>IFERROR(__xludf.DUMMYFUNCTION("""COMPUTED_VALUE"""),"Physical")</f>
        <v>Physical</v>
      </c>
    </row>
    <row r="214">
      <c r="A214" s="16" t="str">
        <f>IFERROR(__xludf.DUMMYFUNCTION("""COMPUTED_VALUE"""),"Take")</f>
        <v>Take</v>
      </c>
      <c r="B214" s="16">
        <f>IFERROR(__xludf.DUMMYFUNCTION("""COMPUTED_VALUE"""),1.0)</f>
        <v>1</v>
      </c>
      <c r="C214" s="16">
        <f>IFERROR(__xludf.DUMMYFUNCTION("""COMPUTED_VALUE"""),0.0)</f>
        <v>0</v>
      </c>
      <c r="D214" s="16"/>
      <c r="E21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IFERROR(__xludf.DUMMYFUNCTION("""COMPUTED_VALUE"""),"Taunt")</f>
        <v>Taunt</v>
      </c>
      <c r="B215" s="16">
        <f>IFERROR(__xludf.DUMMYFUNCTION("""COMPUTED_VALUE"""),1.0)</f>
        <v>1</v>
      </c>
      <c r="C215" s="16">
        <f>IFERROR(__xludf.DUMMYFUNCTION("""COMPUTED_VALUE"""),0.0)</f>
        <v>0</v>
      </c>
      <c r="D215" s="16"/>
      <c r="E21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5" s="16" t="str">
        <f>IFERROR(__xludf.DUMMYFUNCTION("""COMPUTED_VALUE"""),"Natural/Fail or succeed")</f>
        <v>Natural/Fail or succeed</v>
      </c>
      <c r="G215" s="16">
        <f>IFERROR(__xludf.DUMMYFUNCTION("""COMPUTED_VALUE"""),1.0)</f>
        <v>1</v>
      </c>
      <c r="H215" s="16" t="str">
        <f>IFERROR(__xludf.DUMMYFUNCTION("""COMPUTED_VALUE"""),"Physical")</f>
        <v>Physical</v>
      </c>
    </row>
    <row r="216">
      <c r="A216" s="16" t="str">
        <f>IFERROR(__xludf.DUMMYFUNCTION("""COMPUTED_VALUE"""),"Tower Of Balance I")</f>
        <v>Tower Of Balance I</v>
      </c>
      <c r="B216" s="16">
        <f>IFERROR(__xludf.DUMMYFUNCTION("""COMPUTED_VALUE"""),8.0)</f>
        <v>8</v>
      </c>
      <c r="C216" s="16">
        <f>IFERROR(__xludf.DUMMYFUNCTION("""COMPUTED_VALUE"""),200.0)</f>
        <v>200</v>
      </c>
      <c r="D216" s="16"/>
      <c r="E21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6" s="16" t="str">
        <f>IFERROR(__xludf.DUMMYFUNCTION("""COMPUTED_VALUE"""),"Fail/Succeed")</f>
        <v>Fail/Succeed</v>
      </c>
      <c r="G216" s="16"/>
      <c r="H216" s="16" t="str">
        <f>IFERROR(__xludf.DUMMYFUNCTION("""COMPUTED_VALUE"""),"Physical")</f>
        <v>Physical</v>
      </c>
    </row>
    <row r="217">
      <c r="A217" s="16" t="str">
        <f>IFERROR(__xludf.DUMMYFUNCTION("""COMPUTED_VALUE"""),"[Element] Shot")</f>
        <v>[Element] Shot</v>
      </c>
      <c r="B217" s="16">
        <f>IFERROR(__xludf.DUMMYFUNCTION("""COMPUTED_VALUE"""),4.0)</f>
        <v>4</v>
      </c>
      <c r="C217" s="16">
        <f>IFERROR(__xludf.DUMMYFUNCTION("""COMPUTED_VALUE"""),40.0)</f>
        <v>40</v>
      </c>
      <c r="D217" s="16"/>
      <c r="E217"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7" s="16" t="str">
        <f>IFERROR(__xludf.DUMMYFUNCTION("""COMPUTED_VALUE"""),"Fail/succeed")</f>
        <v>Fail/succeed</v>
      </c>
      <c r="G217" s="16"/>
      <c r="H217" s="16" t="str">
        <f>IFERROR(__xludf.DUMMYFUNCTION("""COMPUTED_VALUE"""),"Ranged")</f>
        <v>Ranged</v>
      </c>
    </row>
    <row r="218">
      <c r="A218" s="16" t="str">
        <f>IFERROR(__xludf.DUMMYFUNCTION("""COMPUTED_VALUE"""),"Accuracy Boost")</f>
        <v>Accuracy Boost</v>
      </c>
      <c r="B218" s="16">
        <f>IFERROR(__xludf.DUMMYFUNCTION("""COMPUTED_VALUE"""),6.0)</f>
        <v>6</v>
      </c>
      <c r="C218" s="16">
        <f>IFERROR(__xludf.DUMMYFUNCTION("""COMPUTED_VALUE"""),60.0)</f>
        <v>60</v>
      </c>
      <c r="D218" s="16"/>
      <c r="E218" s="16" t="str">
        <f>IFERROR(__xludf.DUMMYFUNCTION("""COMPUTED_VALUE"""),"Raise accuracy by X2 for 3 rounds (1 use)")</f>
        <v>Raise accuracy by X2 for 3 rounds (1 use)</v>
      </c>
      <c r="F218" s="16" t="str">
        <f>IFERROR(__xludf.DUMMYFUNCTION("""COMPUTED_VALUE"""),"Will Succeed")</f>
        <v>Will Succeed</v>
      </c>
      <c r="G218" s="16"/>
      <c r="H218" s="16" t="str">
        <f>IFERROR(__xludf.DUMMYFUNCTION("""COMPUTED_VALUE"""),"Ranged")</f>
        <v>Ranged</v>
      </c>
    </row>
    <row r="219">
      <c r="A219" s="16" t="str">
        <f>IFERROR(__xludf.DUMMYFUNCTION("""COMPUTED_VALUE"""),"Archer’s Wrath")</f>
        <v>Archer’s Wrath</v>
      </c>
      <c r="B219" s="16">
        <f>IFERROR(__xludf.DUMMYFUNCTION("""COMPUTED_VALUE"""),5.0)</f>
        <v>5</v>
      </c>
      <c r="C219" s="16" t="str">
        <f>IFERROR(__xludf.DUMMYFUNCTION("""COMPUTED_VALUE"""),"X")</f>
        <v>X</v>
      </c>
      <c r="D219" s="16"/>
      <c r="E219" s="16" t="str">
        <f>IFERROR(__xludf.DUMMYFUNCTION("""COMPUTED_VALUE"""),"Roll a D20 for additional accuracy, times it by the amount of mana you pay.")</f>
        <v>Roll a D20 for additional accuracy, times it by the amount of mana you pay.</v>
      </c>
      <c r="F219" s="16" t="str">
        <f>IFERROR(__xludf.DUMMYFUNCTION("""COMPUTED_VALUE"""),"Will Succeed")</f>
        <v>Will Succeed</v>
      </c>
      <c r="G219" s="16"/>
      <c r="H219" s="16" t="str">
        <f>IFERROR(__xludf.DUMMYFUNCTION("""COMPUTED_VALUE"""),"Ranged")</f>
        <v>Ranged</v>
      </c>
    </row>
    <row r="220">
      <c r="A220" s="16" t="str">
        <f>IFERROR(__xludf.DUMMYFUNCTION("""COMPUTED_VALUE"""),"Bullseye")</f>
        <v>Bullseye</v>
      </c>
      <c r="B220" s="16">
        <f>IFERROR(__xludf.DUMMYFUNCTION("""COMPUTED_VALUE"""),9.0)</f>
        <v>9</v>
      </c>
      <c r="C220" s="16">
        <f>IFERROR(__xludf.DUMMYFUNCTION("""COMPUTED_VALUE"""),300.0)</f>
        <v>300</v>
      </c>
      <c r="D220" s="16"/>
      <c r="E220"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20" s="16" t="str">
        <f>IFERROR(__xludf.DUMMYFUNCTION("""COMPUTED_VALUE"""),"Fail/succeed")</f>
        <v>Fail/succeed</v>
      </c>
      <c r="G220" s="16"/>
      <c r="H220" s="16" t="str">
        <f>IFERROR(__xludf.DUMMYFUNCTION("""COMPUTED_VALUE"""),"Ranged")</f>
        <v>Ranged</v>
      </c>
    </row>
    <row r="221">
      <c r="A221" s="16" t="str">
        <f>IFERROR(__xludf.DUMMYFUNCTION("""COMPUTED_VALUE"""),"Cannon Bombardment")</f>
        <v>Cannon Bombardment</v>
      </c>
      <c r="B221" s="16">
        <f>IFERROR(__xludf.DUMMYFUNCTION("""COMPUTED_VALUE"""),1.0)</f>
        <v>1</v>
      </c>
      <c r="C221" s="16">
        <f>IFERROR(__xludf.DUMMYFUNCTION("""COMPUTED_VALUE"""),0.0)</f>
        <v>0</v>
      </c>
      <c r="D221" s="16"/>
      <c r="E221"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1" s="16" t="str">
        <f>IFERROR(__xludf.DUMMYFUNCTION("""COMPUTED_VALUE"""),"Natural/Fail or Succeed")</f>
        <v>Natural/Fail or Succeed</v>
      </c>
      <c r="G221" s="16" t="str">
        <f>IFERROR(__xludf.DUMMYFUNCTION("""COMPUTED_VALUE"""),"All")</f>
        <v>All</v>
      </c>
      <c r="H221" s="16" t="str">
        <f>IFERROR(__xludf.DUMMYFUNCTION("""COMPUTED_VALUE"""),"Ranged")</f>
        <v>Ranged</v>
      </c>
    </row>
    <row r="222">
      <c r="A222" s="16" t="str">
        <f>IFERROR(__xludf.DUMMYFUNCTION("""COMPUTED_VALUE"""),"Good shot")</f>
        <v>Good shot</v>
      </c>
      <c r="B222" s="16">
        <f>IFERROR(__xludf.DUMMYFUNCTION("""COMPUTED_VALUE"""),1.0)</f>
        <v>1</v>
      </c>
      <c r="C222" s="16">
        <f>IFERROR(__xludf.DUMMYFUNCTION("""COMPUTED_VALUE"""),10.0)</f>
        <v>10</v>
      </c>
      <c r="D222" s="16"/>
      <c r="E222" s="16" t="str">
        <f>IFERROR(__xludf.DUMMYFUNCTION("""COMPUTED_VALUE"""),"Roll for a ranged attack twice take the higher")</f>
        <v>Roll for a ranged attack twice take the higher</v>
      </c>
      <c r="F222" s="16" t="str">
        <f>IFERROR(__xludf.DUMMYFUNCTION("""COMPUTED_VALUE"""),"Will Succeed")</f>
        <v>Will Succeed</v>
      </c>
      <c r="G222" s="16" t="str">
        <f>IFERROR(__xludf.DUMMYFUNCTION("""COMPUTED_VALUE"""),"Self")</f>
        <v>Self</v>
      </c>
      <c r="H222" s="16" t="str">
        <f>IFERROR(__xludf.DUMMYFUNCTION("""COMPUTED_VALUE"""),"Ranged")</f>
        <v>Ranged</v>
      </c>
    </row>
    <row r="223">
      <c r="A223" s="16" t="str">
        <f>IFERROR(__xludf.DUMMYFUNCTION("""COMPUTED_VALUE"""),"Lock On")</f>
        <v>Lock On</v>
      </c>
      <c r="B223" s="16">
        <f>IFERROR(__xludf.DUMMYFUNCTION("""COMPUTED_VALUE"""),7.0)</f>
        <v>7</v>
      </c>
      <c r="C223" s="16">
        <f>IFERROR(__xludf.DUMMYFUNCTION("""COMPUTED_VALUE"""),100.0)</f>
        <v>100</v>
      </c>
      <c r="D223" s="16"/>
      <c r="E223" s="16" t="str">
        <f>IFERROR(__xludf.DUMMYFUNCTION("""COMPUTED_VALUE"""),"Target cannot evade for 3 rounds.")</f>
        <v>Target cannot evade for 3 rounds.</v>
      </c>
      <c r="F223" s="16" t="str">
        <f>IFERROR(__xludf.DUMMYFUNCTION("""COMPUTED_VALUE"""),"Fail/succeed")</f>
        <v>Fail/succeed</v>
      </c>
      <c r="G223" s="16"/>
      <c r="H223" s="16" t="str">
        <f>IFERROR(__xludf.DUMMYFUNCTION("""COMPUTED_VALUE"""),"Ranged")</f>
        <v>Ranged</v>
      </c>
    </row>
    <row r="224">
      <c r="A224" s="16" t="str">
        <f>IFERROR(__xludf.DUMMYFUNCTION("""COMPUTED_VALUE"""),"Multishot")</f>
        <v>Multishot</v>
      </c>
      <c r="B224" s="16">
        <f>IFERROR(__xludf.DUMMYFUNCTION("""COMPUTED_VALUE"""),9.0)</f>
        <v>9</v>
      </c>
      <c r="C224" s="16" t="str">
        <f>IFERROR(__xludf.DUMMYFUNCTION("""COMPUTED_VALUE"""),"X*300")</f>
        <v>X*300</v>
      </c>
      <c r="D224" s="16"/>
      <c r="E224" s="16" t="str">
        <f>IFERROR(__xludf.DUMMYFUNCTION("""COMPUTED_VALUE"""),"Multiples the damage of the next attack by X. X= SP you pay for X Cost.")</f>
        <v>Multiples the damage of the next attack by X. X= SP you pay for X Cost.</v>
      </c>
      <c r="F224" s="16" t="str">
        <f>IFERROR(__xludf.DUMMYFUNCTION("""COMPUTED_VALUE"""),"Fail/succeed")</f>
        <v>Fail/succeed</v>
      </c>
      <c r="G224" s="16"/>
      <c r="H224" s="16" t="str">
        <f>IFERROR(__xludf.DUMMYFUNCTION("""COMPUTED_VALUE"""),"Ranged")</f>
        <v>Ranged</v>
      </c>
    </row>
    <row r="225">
      <c r="A225" s="16" t="str">
        <f>IFERROR(__xludf.DUMMYFUNCTION("""COMPUTED_VALUE"""),"Pinning shot")</f>
        <v>Pinning shot</v>
      </c>
      <c r="B225" s="16">
        <f>IFERROR(__xludf.DUMMYFUNCTION("""COMPUTED_VALUE"""),3.0)</f>
        <v>3</v>
      </c>
      <c r="C225" s="16">
        <f>IFERROR(__xludf.DUMMYFUNCTION("""COMPUTED_VALUE"""),30.0)</f>
        <v>30</v>
      </c>
      <c r="D225" s="16"/>
      <c r="E225" s="16" t="str">
        <f>IFERROR(__xludf.DUMMYFUNCTION("""COMPUTED_VALUE"""),"The target is immobilized until the end of its next turn.")</f>
        <v>The target is immobilized until the end of its next turn.</v>
      </c>
      <c r="F225" s="16" t="str">
        <f>IFERROR(__xludf.DUMMYFUNCTION("""COMPUTED_VALUE"""),"Fail/succeed")</f>
        <v>Fail/succeed</v>
      </c>
      <c r="G225" s="16"/>
      <c r="H225" s="16" t="str">
        <f>IFERROR(__xludf.DUMMYFUNCTION("""COMPUTED_VALUE"""),"Ranged")</f>
        <v>Ranged</v>
      </c>
    </row>
    <row r="226">
      <c r="A226" s="16" t="str">
        <f>IFERROR(__xludf.DUMMYFUNCTION("""COMPUTED_VALUE"""),"Tower Of Balance III")</f>
        <v>Tower Of Balance III</v>
      </c>
      <c r="B226" s="16">
        <f>IFERROR(__xludf.DUMMYFUNCTION("""COMPUTED_VALUE"""),8.0)</f>
        <v>8</v>
      </c>
      <c r="C226" s="16">
        <f>IFERROR(__xludf.DUMMYFUNCTION("""COMPUTED_VALUE"""),200.0)</f>
        <v>200</v>
      </c>
      <c r="D226" s="16"/>
      <c r="E226"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6" s="16" t="str">
        <f>IFERROR(__xludf.DUMMYFUNCTION("""COMPUTED_VALUE"""),"Will Succeed")</f>
        <v>Will Succeed</v>
      </c>
      <c r="G226" s="16"/>
      <c r="H226" s="16" t="str">
        <f>IFERROR(__xludf.DUMMYFUNCTION("""COMPUTED_VALUE"""),"Ranged")</f>
        <v>Ranged</v>
      </c>
    </row>
    <row r="227">
      <c r="A227" s="16" t="str">
        <f>IFERROR(__xludf.DUMMYFUNCTION("""COMPUTED_VALUE"""),"A Deal With The Spirit World")</f>
        <v>A Deal With The Spirit World</v>
      </c>
      <c r="B227" s="16">
        <f>IFERROR(__xludf.DUMMYFUNCTION("""COMPUTED_VALUE"""),7.0)</f>
        <v>7</v>
      </c>
      <c r="C227" s="16"/>
      <c r="D227" s="16" t="str">
        <f>IFERROR(__xludf.DUMMYFUNCTION("""COMPUTED_VALUE"""),"X")</f>
        <v>X</v>
      </c>
      <c r="E227" s="16" t="str">
        <f>IFERROR(__xludf.DUMMYFUNCTION("""COMPUTED_VALUE"""),"Deal X unblockable damage to self to drain X*100 SP from target.")</f>
        <v>Deal X unblockable damage to self to drain X*100 SP from target.</v>
      </c>
      <c r="F227" s="16" t="str">
        <f>IFERROR(__xludf.DUMMYFUNCTION("""COMPUTED_VALUE"""),"Fail/Succeed")</f>
        <v>Fail/Succeed</v>
      </c>
      <c r="G227" s="16"/>
      <c r="H227" s="16" t="str">
        <f>IFERROR(__xludf.DUMMYFUNCTION("""COMPUTED_VALUE"""),"Spirit")</f>
        <v>Spirit</v>
      </c>
    </row>
    <row r="228">
      <c r="A228" s="16" t="str">
        <f>IFERROR(__xludf.DUMMYFUNCTION("""COMPUTED_VALUE"""),"Burning Dread")</f>
        <v>Burning Dread</v>
      </c>
      <c r="B228" s="16">
        <f>IFERROR(__xludf.DUMMYFUNCTION("""COMPUTED_VALUE"""),6.0)</f>
        <v>6</v>
      </c>
      <c r="C228" s="16" t="str">
        <f>IFERROR(__xludf.DUMMYFUNCTION("""COMPUTED_VALUE"""),"X")</f>
        <v>X</v>
      </c>
      <c r="D228" s="16"/>
      <c r="E228" s="16" t="str">
        <f>IFERROR(__xludf.DUMMYFUNCTION("""COMPUTED_VALUE"""),"Deals X*10 Spirit damage per round to all enemies for 3 rounds where X is equal to SP spent.")</f>
        <v>Deals X*10 Spirit damage per round to all enemies for 3 rounds where X is equal to SP spent.</v>
      </c>
      <c r="F228" s="16" t="str">
        <f>IFERROR(__xludf.DUMMYFUNCTION("""COMPUTED_VALUE"""),"Cannot Avoid")</f>
        <v>Cannot Avoid</v>
      </c>
      <c r="G228" s="16" t="str">
        <f>IFERROR(__xludf.DUMMYFUNCTION("""COMPUTED_VALUE"""),"All")</f>
        <v>All</v>
      </c>
      <c r="H228" s="16" t="str">
        <f>IFERROR(__xludf.DUMMYFUNCTION("""COMPUTED_VALUE"""),"Spirit")</f>
        <v>Spirit</v>
      </c>
    </row>
    <row r="229">
      <c r="A229" s="16" t="str">
        <f>IFERROR(__xludf.DUMMYFUNCTION("""COMPUTED_VALUE"""),"Confuse")</f>
        <v>Confuse</v>
      </c>
      <c r="B229" s="16">
        <f>IFERROR(__xludf.DUMMYFUNCTION("""COMPUTED_VALUE"""),6.0)</f>
        <v>6</v>
      </c>
      <c r="C229" s="16">
        <f>IFERROR(__xludf.DUMMYFUNCTION("""COMPUTED_VALUE"""),90.0)</f>
        <v>90</v>
      </c>
      <c r="D229" s="16"/>
      <c r="E229" s="16" t="str">
        <f>IFERROR(__xludf.DUMMYFUNCTION("""COMPUTED_VALUE"""),"Makes the target incapable of performing their next action.")</f>
        <v>Makes the target incapable of performing their next action.</v>
      </c>
      <c r="F229" s="16" t="str">
        <f>IFERROR(__xludf.DUMMYFUNCTION("""COMPUTED_VALUE"""),"Fail/Succeed")</f>
        <v>Fail/Succeed</v>
      </c>
      <c r="G229" s="16"/>
      <c r="H229" s="16" t="str">
        <f>IFERROR(__xludf.DUMMYFUNCTION("""COMPUTED_VALUE"""),"Spirit")</f>
        <v>Spirit</v>
      </c>
    </row>
    <row r="230">
      <c r="A230" s="16" t="str">
        <f>IFERROR(__xludf.DUMMYFUNCTION("""COMPUTED_VALUE"""),"Degrade")</f>
        <v>Degrade</v>
      </c>
      <c r="B230" s="16">
        <f>IFERROR(__xludf.DUMMYFUNCTION("""COMPUTED_VALUE"""),1.0)</f>
        <v>1</v>
      </c>
      <c r="C230" s="16">
        <f>IFERROR(__xludf.DUMMYFUNCTION("""COMPUTED_VALUE"""),10.0)</f>
        <v>10</v>
      </c>
      <c r="D230" s="16"/>
      <c r="E230" s="16" t="str">
        <f>IFERROR(__xludf.DUMMYFUNCTION("""COMPUTED_VALUE"""),"1 Targets Max HP is reduced to 100.")</f>
        <v>1 Targets Max HP is reduced to 100.</v>
      </c>
      <c r="F230" s="16" t="str">
        <f>IFERROR(__xludf.DUMMYFUNCTION("""COMPUTED_VALUE"""),"Fail/Succeed")</f>
        <v>Fail/Succeed</v>
      </c>
      <c r="G230" s="16"/>
      <c r="H230" s="16" t="str">
        <f>IFERROR(__xludf.DUMMYFUNCTION("""COMPUTED_VALUE"""),"Spirit")</f>
        <v>Spirit</v>
      </c>
    </row>
    <row r="231">
      <c r="A231" s="16" t="str">
        <f>IFERROR(__xludf.DUMMYFUNCTION("""COMPUTED_VALUE"""),"Distant Warrior")</f>
        <v>Distant Warrior</v>
      </c>
      <c r="B231" s="16">
        <f>IFERROR(__xludf.DUMMYFUNCTION("""COMPUTED_VALUE"""),9.0)</f>
        <v>9</v>
      </c>
      <c r="C231" s="16" t="str">
        <f>IFERROR(__xludf.DUMMYFUNCTION("""COMPUTED_VALUE"""),"X*1000")</f>
        <v>X*1000</v>
      </c>
      <c r="D231" s="16"/>
      <c r="E231"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1" s="16" t="str">
        <f>IFERROR(__xludf.DUMMYFUNCTION("""COMPUTED_VALUE"""),"Will Succeed")</f>
        <v>Will Succeed</v>
      </c>
      <c r="G231" s="16"/>
      <c r="H231" s="16" t="str">
        <f>IFERROR(__xludf.DUMMYFUNCTION("""COMPUTED_VALUE"""),"Spirit")</f>
        <v>Spirit</v>
      </c>
    </row>
    <row r="232">
      <c r="A232" s="16" t="str">
        <f>IFERROR(__xludf.DUMMYFUNCTION("""COMPUTED_VALUE"""),"Dread")</f>
        <v>Dread</v>
      </c>
      <c r="B232" s="16">
        <f>IFERROR(__xludf.DUMMYFUNCTION("""COMPUTED_VALUE"""),5.0)</f>
        <v>5</v>
      </c>
      <c r="C232" s="16" t="str">
        <f>IFERROR(__xludf.DUMMYFUNCTION("""COMPUTED_VALUE"""),"X")</f>
        <v>X</v>
      </c>
      <c r="D232" s="16"/>
      <c r="E232" s="16" t="str">
        <f>IFERROR(__xludf.DUMMYFUNCTION("""COMPUTED_VALUE"""),"Deals X*50 Spirit damage per round for 3 rounds to a single target where X is equal to SP spent.")</f>
        <v>Deals X*50 Spirit damage per round for 3 rounds to a single target where X is equal to SP spent.</v>
      </c>
      <c r="F232" s="16" t="str">
        <f>IFERROR(__xludf.DUMMYFUNCTION("""COMPUTED_VALUE"""),"Hit/Miss")</f>
        <v>Hit/Miss</v>
      </c>
      <c r="G232" s="16">
        <f>IFERROR(__xludf.DUMMYFUNCTION("""COMPUTED_VALUE"""),1.0)</f>
        <v>1</v>
      </c>
      <c r="H232" s="16" t="str">
        <f>IFERROR(__xludf.DUMMYFUNCTION("""COMPUTED_VALUE"""),"Spirit")</f>
        <v>Spirit</v>
      </c>
    </row>
    <row r="233">
      <c r="A233" s="16" t="str">
        <f>IFERROR(__xludf.DUMMYFUNCTION("""COMPUTED_VALUE"""),"Enthrall")</f>
        <v>Enthrall</v>
      </c>
      <c r="B233" s="16">
        <f>IFERROR(__xludf.DUMMYFUNCTION("""COMPUTED_VALUE"""),9.0)</f>
        <v>9</v>
      </c>
      <c r="C233" s="16">
        <f>IFERROR(__xludf.DUMMYFUNCTION("""COMPUTED_VALUE"""),1000.0)</f>
        <v>1000</v>
      </c>
      <c r="D233" s="16"/>
      <c r="E233"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3" s="16" t="str">
        <f>IFERROR(__xludf.DUMMYFUNCTION("""COMPUTED_VALUE"""),"Fail/Succeed")</f>
        <v>Fail/Succeed</v>
      </c>
      <c r="G233" s="16"/>
      <c r="H233" s="16" t="str">
        <f>IFERROR(__xludf.DUMMYFUNCTION("""COMPUTED_VALUE"""),"Spirit")</f>
        <v>Spirit</v>
      </c>
    </row>
    <row r="234">
      <c r="A234" s="16" t="str">
        <f>IFERROR(__xludf.DUMMYFUNCTION("""COMPUTED_VALUE"""),"Final Blast")</f>
        <v>Final Blast</v>
      </c>
      <c r="B234" s="16">
        <f>IFERROR(__xludf.DUMMYFUNCTION("""COMPUTED_VALUE"""),6.0)</f>
        <v>6</v>
      </c>
      <c r="C234" s="16" t="str">
        <f>IFERROR(__xludf.DUMMYFUNCTION("""COMPUTED_VALUE"""),"Current SP")</f>
        <v>Current SP</v>
      </c>
      <c r="D234" s="16"/>
      <c r="E234" s="16" t="str">
        <f>IFERROR(__xludf.DUMMYFUNCTION("""COMPUTED_VALUE"""),"Deal Current SP *10 damage to all enemies.")</f>
        <v>Deal Current SP *10 damage to all enemies.</v>
      </c>
      <c r="F234" s="16" t="str">
        <f>IFERROR(__xludf.DUMMYFUNCTION("""COMPUTED_VALUE"""),"Canot Avoid")</f>
        <v>Canot Avoid</v>
      </c>
      <c r="G234" s="16">
        <f>IFERROR(__xludf.DUMMYFUNCTION("""COMPUTED_VALUE"""),1.0)</f>
        <v>1</v>
      </c>
      <c r="H234" s="16" t="str">
        <f>IFERROR(__xludf.DUMMYFUNCTION("""COMPUTED_VALUE"""),"Spirit")</f>
        <v>Spirit</v>
      </c>
    </row>
    <row r="235">
      <c r="A235" s="16" t="str">
        <f>IFERROR(__xludf.DUMMYFUNCTION("""COMPUTED_VALUE"""),"Final Rest")</f>
        <v>Final Rest</v>
      </c>
      <c r="B235" s="16">
        <f>IFERROR(__xludf.DUMMYFUNCTION("""COMPUTED_VALUE"""),6.0)</f>
        <v>6</v>
      </c>
      <c r="C235" s="16">
        <f>IFERROR(__xludf.DUMMYFUNCTION("""COMPUTED_VALUE"""),90.0)</f>
        <v>90</v>
      </c>
      <c r="D235" s="16"/>
      <c r="E235" s="16" t="str">
        <f>IFERROR(__xludf.DUMMYFUNCTION("""COMPUTED_VALUE"""),"25% chance of instantly banishing any target, 20% chance to banish self.")</f>
        <v>25% chance of instantly banishing any target, 20% chance to banish self.</v>
      </c>
      <c r="F235" s="16" t="str">
        <f>IFERROR(__xludf.DUMMYFUNCTION("""COMPUTED_VALUE"""),"Fail/Succeed")</f>
        <v>Fail/Succeed</v>
      </c>
      <c r="G235" s="16"/>
      <c r="H235" s="16" t="str">
        <f>IFERROR(__xludf.DUMMYFUNCTION("""COMPUTED_VALUE"""),"Spirit")</f>
        <v>Spirit</v>
      </c>
    </row>
    <row r="236">
      <c r="A236" s="16" t="str">
        <f>IFERROR(__xludf.DUMMYFUNCTION("""COMPUTED_VALUE"""),"Gain Soul")</f>
        <v>Gain Soul</v>
      </c>
      <c r="B236" s="16">
        <f>IFERROR(__xludf.DUMMYFUNCTION("""COMPUTED_VALUE"""),6.0)</f>
        <v>6</v>
      </c>
      <c r="C236" s="16">
        <f>IFERROR(__xludf.DUMMYFUNCTION("""COMPUTED_VALUE"""),90.0)</f>
        <v>90</v>
      </c>
      <c r="D236" s="16"/>
      <c r="E236" s="16" t="str">
        <f>IFERROR(__xludf.DUMMYFUNCTION("""COMPUTED_VALUE"""),"Undoes Lost Soul. If Lost Soul hasn’t been casted, then doubles the effects of the next two spells.")</f>
        <v>Undoes Lost Soul. If Lost Soul hasn’t been casted, then doubles the effects of the next two spells.</v>
      </c>
      <c r="F236" s="16" t="str">
        <f>IFERROR(__xludf.DUMMYFUNCTION("""COMPUTED_VALUE"""),"Will Succeed")</f>
        <v>Will Succeed</v>
      </c>
      <c r="G236" s="16"/>
      <c r="H236" s="16" t="str">
        <f>IFERROR(__xludf.DUMMYFUNCTION("""COMPUTED_VALUE"""),"Spirit")</f>
        <v>Spirit</v>
      </c>
    </row>
    <row r="237">
      <c r="A237" s="16" t="str">
        <f>IFERROR(__xludf.DUMMYFUNCTION("""COMPUTED_VALUE"""),"HP Recover")</f>
        <v>HP Recover</v>
      </c>
      <c r="B237" s="16">
        <f>IFERROR(__xludf.DUMMYFUNCTION("""COMPUTED_VALUE"""),1.0)</f>
        <v>1</v>
      </c>
      <c r="C237" s="16">
        <f>IFERROR(__xludf.DUMMYFUNCTION("""COMPUTED_VALUE"""),0.0)</f>
        <v>0</v>
      </c>
      <c r="D237" s="16"/>
      <c r="E237" s="16" t="str">
        <f>IFERROR(__xludf.DUMMYFUNCTION("""COMPUTED_VALUE"""),"Regain 5000 HP. Can only be used three times per character per session.")</f>
        <v>Regain 5000 HP. Can only be used three times per character per session.</v>
      </c>
      <c r="F237" s="16" t="str">
        <f>IFERROR(__xludf.DUMMYFUNCTION("""COMPUTED_VALUE"""),"Natural/Will Succeed")</f>
        <v>Natural/Will Succeed</v>
      </c>
      <c r="G237" s="16"/>
      <c r="H237" s="16" t="str">
        <f>IFERROR(__xludf.DUMMYFUNCTION("""COMPUTED_VALUE"""),"Spirit")</f>
        <v>Spirit</v>
      </c>
    </row>
    <row r="238">
      <c r="A238" s="16" t="str">
        <f>IFERROR(__xludf.DUMMYFUNCTION("""COMPUTED_VALUE"""),"Incorporeal Form")</f>
        <v>Incorporeal Form</v>
      </c>
      <c r="B238" s="16">
        <f>IFERROR(__xludf.DUMMYFUNCTION("""COMPUTED_VALUE"""),9.0)</f>
        <v>9</v>
      </c>
      <c r="C238" s="16">
        <f>IFERROR(__xludf.DUMMYFUNCTION("""COMPUTED_VALUE"""),500.0)</f>
        <v>500</v>
      </c>
      <c r="D238" s="16"/>
      <c r="E238" s="16" t="str">
        <f>IFERROR(__xludf.DUMMYFUNCTION("""COMPUTED_VALUE"""),"Grants Incorporeal 3 to self Can only be cast once every 6 rounds.")</f>
        <v>Grants Incorporeal 3 to self Can only be cast once every 6 rounds.</v>
      </c>
      <c r="F238" s="16" t="str">
        <f>IFERROR(__xludf.DUMMYFUNCTION("""COMPUTED_VALUE"""),"Fail/Succeed")</f>
        <v>Fail/Succeed</v>
      </c>
      <c r="G238" s="16" t="str">
        <f>IFERROR(__xludf.DUMMYFUNCTION("""COMPUTED_VALUE"""),"Self")</f>
        <v>Self</v>
      </c>
      <c r="H238" s="16" t="str">
        <f>IFERROR(__xludf.DUMMYFUNCTION("""COMPUTED_VALUE"""),"Spirit")</f>
        <v>Spirit</v>
      </c>
    </row>
    <row r="239">
      <c r="A239" s="16" t="str">
        <f>IFERROR(__xludf.DUMMYFUNCTION("""COMPUTED_VALUE"""),"Lost Soul")</f>
        <v>Lost Soul</v>
      </c>
      <c r="B239" s="16">
        <f>IFERROR(__xludf.DUMMYFUNCTION("""COMPUTED_VALUE"""),6.0)</f>
        <v>6</v>
      </c>
      <c r="C239" s="16">
        <f>IFERROR(__xludf.DUMMYFUNCTION("""COMPUTED_VALUE"""),90.0)</f>
        <v>90</v>
      </c>
      <c r="D239" s="16"/>
      <c r="E239"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9" s="16" t="str">
        <f>IFERROR(__xludf.DUMMYFUNCTION("""COMPUTED_VALUE"""),"Will Succeed")</f>
        <v>Will Succeed</v>
      </c>
      <c r="G239" s="16"/>
      <c r="H239" s="16" t="str">
        <f>IFERROR(__xludf.DUMMYFUNCTION("""COMPUTED_VALUE"""),"Spirit")</f>
        <v>Spirit</v>
      </c>
    </row>
    <row r="240">
      <c r="A240" s="16" t="str">
        <f>IFERROR(__xludf.DUMMYFUNCTION("""COMPUTED_VALUE"""),"Negative Energy")</f>
        <v>Negative Energy</v>
      </c>
      <c r="B240" s="16">
        <f>IFERROR(__xludf.DUMMYFUNCTION("""COMPUTED_VALUE"""),5.0)</f>
        <v>5</v>
      </c>
      <c r="C240" s="16">
        <f>IFERROR(__xludf.DUMMYFUNCTION("""COMPUTED_VALUE"""),50.0)</f>
        <v>50</v>
      </c>
      <c r="D240" s="16"/>
      <c r="E240" s="16" t="str">
        <f>IFERROR(__xludf.DUMMYFUNCTION("""COMPUTED_VALUE"""),"Target halfs the damage from their next attack.")</f>
        <v>Target halfs the damage from their next attack.</v>
      </c>
      <c r="F240" s="16" t="str">
        <f>IFERROR(__xludf.DUMMYFUNCTION("""COMPUTED_VALUE"""),"Fail/succeed")</f>
        <v>Fail/succeed</v>
      </c>
      <c r="G240" s="16"/>
      <c r="H240" s="16" t="str">
        <f>IFERROR(__xludf.DUMMYFUNCTION("""COMPUTED_VALUE"""),"Spirit")</f>
        <v>Spirit</v>
      </c>
    </row>
    <row r="241">
      <c r="A241" s="16" t="str">
        <f>IFERROR(__xludf.DUMMYFUNCTION("""COMPUTED_VALUE"""),"Positive Energy")</f>
        <v>Positive Energy</v>
      </c>
      <c r="B241" s="16">
        <f>IFERROR(__xludf.DUMMYFUNCTION("""COMPUTED_VALUE"""),5.0)</f>
        <v>5</v>
      </c>
      <c r="C241" s="16">
        <f>IFERROR(__xludf.DUMMYFUNCTION("""COMPUTED_VALUE"""),50.0)</f>
        <v>50</v>
      </c>
      <c r="D241" s="16"/>
      <c r="E241" s="16" t="str">
        <f>IFERROR(__xludf.DUMMYFUNCTION("""COMPUTED_VALUE"""),"X2 additional spirit damage for caster only.")</f>
        <v>X2 additional spirit damage for caster only.</v>
      </c>
      <c r="F241" s="16" t="str">
        <f>IFERROR(__xludf.DUMMYFUNCTION("""COMPUTED_VALUE"""),"Fail/Succeed")</f>
        <v>Fail/Succeed</v>
      </c>
      <c r="G241" s="16"/>
      <c r="H241" s="16" t="str">
        <f>IFERROR(__xludf.DUMMYFUNCTION("""COMPUTED_VALUE"""),"Spirit")</f>
        <v>Spirit</v>
      </c>
    </row>
    <row r="242">
      <c r="A242" s="16" t="str">
        <f>IFERROR(__xludf.DUMMYFUNCTION("""COMPUTED_VALUE"""),"Possession")</f>
        <v>Possession</v>
      </c>
      <c r="B242" s="16">
        <f>IFERROR(__xludf.DUMMYFUNCTION("""COMPUTED_VALUE"""),6.0)</f>
        <v>6</v>
      </c>
      <c r="C242" s="16">
        <f>IFERROR(__xludf.DUMMYFUNCTION("""COMPUTED_VALUE"""),90.0)</f>
        <v>90</v>
      </c>
      <c r="D242" s="16"/>
      <c r="E242" s="16" t="str">
        <f>IFERROR(__xludf.DUMMYFUNCTION("""COMPUTED_VALUE"""),"Possess one target, making them under your control until they are killed or banished. Cannot be canceled.")</f>
        <v>Possess one target, making them under your control until they are killed or banished. Cannot be canceled.</v>
      </c>
      <c r="F242" s="16" t="str">
        <f>IFERROR(__xludf.DUMMYFUNCTION("""COMPUTED_VALUE"""),"Fail/Succeed")</f>
        <v>Fail/Succeed</v>
      </c>
      <c r="G242" s="16"/>
      <c r="H242" s="16" t="str">
        <f>IFERROR(__xludf.DUMMYFUNCTION("""COMPUTED_VALUE"""),"Spirit")</f>
        <v>Spirit</v>
      </c>
    </row>
    <row r="243">
      <c r="A243" s="16" t="str">
        <f>IFERROR(__xludf.DUMMYFUNCTION("""COMPUTED_VALUE"""),"Rain of Souls")</f>
        <v>Rain of Souls</v>
      </c>
      <c r="B243" s="16">
        <f>IFERROR(__xludf.DUMMYFUNCTION("""COMPUTED_VALUE"""),9.0)</f>
        <v>9</v>
      </c>
      <c r="C243" s="16">
        <f>IFERROR(__xludf.DUMMYFUNCTION("""COMPUTED_VALUE"""),300.0)</f>
        <v>300</v>
      </c>
      <c r="D243" s="16"/>
      <c r="E243" s="16" t="str">
        <f>IFERROR(__xludf.DUMMYFUNCTION("""COMPUTED_VALUE"""),"Release X amount of souls to regain X*100 SP for self and allies.")</f>
        <v>Release X amount of souls to regain X*100 SP for self and allies.</v>
      </c>
      <c r="F243" s="16" t="str">
        <f>IFERROR(__xludf.DUMMYFUNCTION("""COMPUTED_VALUE"""),"Will Succeed")</f>
        <v>Will Succeed</v>
      </c>
      <c r="G243" s="16"/>
      <c r="H243" s="16" t="str">
        <f>IFERROR(__xludf.DUMMYFUNCTION("""COMPUTED_VALUE"""),"Spirit")</f>
        <v>Spirit</v>
      </c>
    </row>
    <row r="244">
      <c r="A244" s="16" t="str">
        <f>IFERROR(__xludf.DUMMYFUNCTION("""COMPUTED_VALUE"""),"Soul Absorption")</f>
        <v>Soul Absorption</v>
      </c>
      <c r="B244" s="16">
        <f>IFERROR(__xludf.DUMMYFUNCTION("""COMPUTED_VALUE"""),8.0)</f>
        <v>8</v>
      </c>
      <c r="C244" s="16">
        <f>IFERROR(__xludf.DUMMYFUNCTION("""COMPUTED_VALUE"""),200.0)</f>
        <v>200</v>
      </c>
      <c r="D244" s="16"/>
      <c r="E244"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4" s="16" t="str">
        <f>IFERROR(__xludf.DUMMYFUNCTION("""COMPUTED_VALUE"""),"Fail/succeed")</f>
        <v>Fail/succeed</v>
      </c>
      <c r="G244" s="16"/>
      <c r="H244" s="16" t="str">
        <f>IFERROR(__xludf.DUMMYFUNCTION("""COMPUTED_VALUE"""),"Spirit")</f>
        <v>Spirit</v>
      </c>
    </row>
    <row r="245">
      <c r="A245" s="16" t="str">
        <f>IFERROR(__xludf.DUMMYFUNCTION("""COMPUTED_VALUE"""),"Soul Rend")</f>
        <v>Soul Rend</v>
      </c>
      <c r="B245" s="16">
        <f>IFERROR(__xludf.DUMMYFUNCTION("""COMPUTED_VALUE"""),5.0)</f>
        <v>5</v>
      </c>
      <c r="C245" s="16">
        <f>IFERROR(__xludf.DUMMYFUNCTION("""COMPUTED_VALUE"""),200.0)</f>
        <v>200</v>
      </c>
      <c r="D245" s="16"/>
      <c r="E245" s="16" t="str">
        <f>IFERROR(__xludf.DUMMYFUNCTION("""COMPUTED_VALUE"""),"Deal 2000 unblockable spirit damage and inflict the enemy with 10 Soulburn")</f>
        <v>Deal 2000 unblockable spirit damage and inflict the enemy with 10 Soulburn</v>
      </c>
      <c r="F245" s="16" t="str">
        <f>IFERROR(__xludf.DUMMYFUNCTION("""COMPUTED_VALUE"""),"Hit or MIss")</f>
        <v>Hit or MIss</v>
      </c>
      <c r="G245" s="16">
        <f>IFERROR(__xludf.DUMMYFUNCTION("""COMPUTED_VALUE"""),1.0)</f>
        <v>1</v>
      </c>
      <c r="H245" s="16" t="str">
        <f>IFERROR(__xludf.DUMMYFUNCTION("""COMPUTED_VALUE"""),"Spirit")</f>
        <v>Spirit</v>
      </c>
    </row>
    <row r="246">
      <c r="A246" s="16" t="str">
        <f>IFERROR(__xludf.DUMMYFUNCTION("""COMPUTED_VALUE"""),"Soul Shot")</f>
        <v>Soul Shot</v>
      </c>
      <c r="B246" s="16">
        <f>IFERROR(__xludf.DUMMYFUNCTION("""COMPUTED_VALUE"""),1.0)</f>
        <v>1</v>
      </c>
      <c r="C246" s="16" t="str">
        <f>IFERROR(__xludf.DUMMYFUNCTION("""COMPUTED_VALUE"""),"X")</f>
        <v>X</v>
      </c>
      <c r="D246" s="16"/>
      <c r="E246" s="16" t="str">
        <f>IFERROR(__xludf.DUMMYFUNCTION("""COMPUTED_VALUE"""),"Deals X*100 Undefendable Spirit damage to a single enemy where X is equal to SP spent.")</f>
        <v>Deals X*100 Undefendable Spirit damage to a single enemy where X is equal to SP spent.</v>
      </c>
      <c r="F246" s="16" t="str">
        <f>IFERROR(__xludf.DUMMYFUNCTION("""COMPUTED_VALUE"""),"Hit/Miss")</f>
        <v>Hit/Miss</v>
      </c>
      <c r="G246" s="16">
        <f>IFERROR(__xludf.DUMMYFUNCTION("""COMPUTED_VALUE"""),1.0)</f>
        <v>1</v>
      </c>
      <c r="H246" s="16" t="str">
        <f>IFERROR(__xludf.DUMMYFUNCTION("""COMPUTED_VALUE"""),"Spirit")</f>
        <v>Spirit</v>
      </c>
    </row>
    <row r="247">
      <c r="A247" s="16" t="str">
        <f>IFERROR(__xludf.DUMMYFUNCTION("""COMPUTED_VALUE"""),"Soul Trap")</f>
        <v>Soul Trap</v>
      </c>
      <c r="B247" s="16">
        <f>IFERROR(__xludf.DUMMYFUNCTION("""COMPUTED_VALUE"""),6.0)</f>
        <v>6</v>
      </c>
      <c r="C247" s="16">
        <f>IFERROR(__xludf.DUMMYFUNCTION("""COMPUTED_VALUE"""),60.0)</f>
        <v>60</v>
      </c>
      <c r="D247" s="16"/>
      <c r="E247" s="16" t="str">
        <f>IFERROR(__xludf.DUMMYFUNCTION("""COMPUTED_VALUE"""),"Trap 1 target in a soul binding cage causing Stun 3.")</f>
        <v>Trap 1 target in a soul binding cage causing Stun 3.</v>
      </c>
      <c r="F247" s="16" t="str">
        <f>IFERROR(__xludf.DUMMYFUNCTION("""COMPUTED_VALUE"""),"Fail/Succeed")</f>
        <v>Fail/Succeed</v>
      </c>
      <c r="G247" s="16"/>
      <c r="H247" s="16" t="str">
        <f>IFERROR(__xludf.DUMMYFUNCTION("""COMPUTED_VALUE"""),"Spirit")</f>
        <v>Spirit</v>
      </c>
    </row>
    <row r="248">
      <c r="A248" s="16" t="str">
        <f>IFERROR(__xludf.DUMMYFUNCTION("""COMPUTED_VALUE"""),"SP Recover")</f>
        <v>SP Recover</v>
      </c>
      <c r="B248" s="16">
        <f>IFERROR(__xludf.DUMMYFUNCTION("""COMPUTED_VALUE"""),1.0)</f>
        <v>1</v>
      </c>
      <c r="C248" s="16">
        <f>IFERROR(__xludf.DUMMYFUNCTION("""COMPUTED_VALUE"""),0.0)</f>
        <v>0</v>
      </c>
      <c r="D248" s="16"/>
      <c r="E248" s="16" t="str">
        <f>IFERROR(__xludf.DUMMYFUNCTION("""COMPUTED_VALUE"""),"Regain 5000 SP. Can only be used three times per character per session.")</f>
        <v>Regain 5000 SP. Can only be used three times per character per session.</v>
      </c>
      <c r="F248" s="16" t="str">
        <f>IFERROR(__xludf.DUMMYFUNCTION("""COMPUTED_VALUE"""),"Natural/Will Succeed")</f>
        <v>Natural/Will Succeed</v>
      </c>
      <c r="G248" s="16"/>
      <c r="H248" s="16" t="str">
        <f>IFERROR(__xludf.DUMMYFUNCTION("""COMPUTED_VALUE"""),"Spirit")</f>
        <v>Spirit</v>
      </c>
    </row>
    <row r="249">
      <c r="A249" s="16" t="str">
        <f>IFERROR(__xludf.DUMMYFUNCTION("""COMPUTED_VALUE"""),"Spectral Lash")</f>
        <v>Spectral Lash</v>
      </c>
      <c r="B249" s="16">
        <f>IFERROR(__xludf.DUMMYFUNCTION("""COMPUTED_VALUE"""),7.0)</f>
        <v>7</v>
      </c>
      <c r="C249" s="16">
        <f>IFERROR(__xludf.DUMMYFUNCTION("""COMPUTED_VALUE"""),500.0)</f>
        <v>500</v>
      </c>
      <c r="D249" s="16"/>
      <c r="E249" s="16" t="str">
        <f>IFERROR(__xludf.DUMMYFUNCTION("""COMPUTED_VALUE"""),"Unleash a stream of spectral magic upon an enemy inflicting them with Slowness 3 and Disoriented 5")</f>
        <v>Unleash a stream of spectral magic upon an enemy inflicting them with Slowness 3 and Disoriented 5</v>
      </c>
      <c r="F249" s="16" t="str">
        <f>IFERROR(__xludf.DUMMYFUNCTION("""COMPUTED_VALUE"""),"Fail or Succeed")</f>
        <v>Fail or Succeed</v>
      </c>
      <c r="G249" s="16">
        <f>IFERROR(__xludf.DUMMYFUNCTION("""COMPUTED_VALUE"""),1.0)</f>
        <v>1</v>
      </c>
      <c r="H249" s="16" t="str">
        <f>IFERROR(__xludf.DUMMYFUNCTION("""COMPUTED_VALUE"""),"Spirit")</f>
        <v>Spirit</v>
      </c>
    </row>
    <row r="250">
      <c r="A250" s="16" t="str">
        <f>IFERROR(__xludf.DUMMYFUNCTION("""COMPUTED_VALUE"""),"Spirit Drain")</f>
        <v>Spirit Drain</v>
      </c>
      <c r="B250" s="16">
        <f>IFERROR(__xludf.DUMMYFUNCTION("""COMPUTED_VALUE"""),6.0)</f>
        <v>6</v>
      </c>
      <c r="C250" s="16" t="str">
        <f>IFERROR(__xludf.DUMMYFUNCTION("""COMPUTED_VALUE"""),"½ Current SP")</f>
        <v>½ Current SP</v>
      </c>
      <c r="D250" s="16"/>
      <c r="E250" s="16" t="str">
        <f>IFERROR(__xludf.DUMMYFUNCTION("""COMPUTED_VALUE"""),"Costs half current SP, drains half of target’s current SP")</f>
        <v>Costs half current SP, drains half of target’s current SP</v>
      </c>
      <c r="F250" s="16" t="str">
        <f>IFERROR(__xludf.DUMMYFUNCTION("""COMPUTED_VALUE"""),"Fail/Succeed")</f>
        <v>Fail/Succeed</v>
      </c>
      <c r="G250" s="16"/>
      <c r="H250" s="16" t="str">
        <f>IFERROR(__xludf.DUMMYFUNCTION("""COMPUTED_VALUE"""),"Spirit")</f>
        <v>Spirit</v>
      </c>
    </row>
    <row r="251">
      <c r="A251" s="16" t="str">
        <f>IFERROR(__xludf.DUMMYFUNCTION("""COMPUTED_VALUE"""),"Spirit Fog")</f>
        <v>Spirit Fog</v>
      </c>
      <c r="B251" s="16">
        <f>IFERROR(__xludf.DUMMYFUNCTION("""COMPUTED_VALUE"""),5.0)</f>
        <v>5</v>
      </c>
      <c r="C251" s="16" t="str">
        <f>IFERROR(__xludf.DUMMYFUNCTION("""COMPUTED_VALUE"""),"X")</f>
        <v>X</v>
      </c>
      <c r="D251" s="16"/>
      <c r="E251" s="16" t="str">
        <f>IFERROR(__xludf.DUMMYFUNCTION("""COMPUTED_VALUE"""),"Deals X*25 Undefendable Spirit damage to all enemies where X is equal to SP spent.")</f>
        <v>Deals X*25 Undefendable Spirit damage to all enemies where X is equal to SP spent.</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IFERROR(__xludf.DUMMYFUNCTION("""COMPUTED_VALUE"""),"Spirit's March")</f>
        <v>Spirit's March</v>
      </c>
      <c r="B252" s="16">
        <f>IFERROR(__xludf.DUMMYFUNCTION("""COMPUTED_VALUE"""),9.0)</f>
        <v>9</v>
      </c>
      <c r="C252" s="16" t="str">
        <f>IFERROR(__xludf.DUMMYFUNCTION("""COMPUTED_VALUE"""),"1d20*120")</f>
        <v>1d20*120</v>
      </c>
      <c r="D252" s="16"/>
      <c r="E252"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2" s="16" t="str">
        <f>IFERROR(__xludf.DUMMYFUNCTION("""COMPUTED_VALUE"""),"Cannot Avoid")</f>
        <v>Cannot Avoid</v>
      </c>
      <c r="G252" s="16" t="str">
        <f>IFERROR(__xludf.DUMMYFUNCTION("""COMPUTED_VALUE"""),"All")</f>
        <v>All</v>
      </c>
      <c r="H252" s="16" t="str">
        <f>IFERROR(__xludf.DUMMYFUNCTION("""COMPUTED_VALUE"""),"Spirit")</f>
        <v>Spirit</v>
      </c>
    </row>
    <row r="253">
      <c r="A253" s="16" t="str">
        <f>IFERROR(__xludf.DUMMYFUNCTION("""COMPUTED_VALUE"""),"Vengeful Strike")</f>
        <v>Vengeful Strike</v>
      </c>
      <c r="B253" s="16">
        <f>IFERROR(__xludf.DUMMYFUNCTION("""COMPUTED_VALUE"""),9.0)</f>
        <v>9</v>
      </c>
      <c r="C253" s="16">
        <f>IFERROR(__xludf.DUMMYFUNCTION("""COMPUTED_VALUE"""),500.0)</f>
        <v>500</v>
      </c>
      <c r="D253" s="16"/>
      <c r="E25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3" s="16" t="str">
        <f>IFERROR(__xludf.DUMMYFUNCTION("""COMPUTED_VALUE"""),"Fail/Succeed")</f>
        <v>Fail/Succeed</v>
      </c>
      <c r="G253" s="16" t="str">
        <f>IFERROR(__xludf.DUMMYFUNCTION("""COMPUTED_VALUE"""),"Self")</f>
        <v>Self</v>
      </c>
      <c r="H253" s="16" t="str">
        <f>IFERROR(__xludf.DUMMYFUNCTION("""COMPUTED_VALUE"""),"Spirit")</f>
        <v>Spirit</v>
      </c>
    </row>
    <row r="254">
      <c r="A254" s="16" t="str">
        <f>IFERROR(__xludf.DUMMYFUNCTION("""COMPUTED_VALUE"""),"Colliding Forces")</f>
        <v>Colliding Forces</v>
      </c>
      <c r="B254" s="16">
        <f>IFERROR(__xludf.DUMMYFUNCTION("""COMPUTED_VALUE"""),5.0)</f>
        <v>5</v>
      </c>
      <c r="C254" s="16" t="str">
        <f>IFERROR(__xludf.DUMMYFUNCTION("""COMPUTED_VALUE"""),"X")</f>
        <v>X</v>
      </c>
      <c r="D254" s="16"/>
      <c r="E254" s="16" t="str">
        <f>IFERROR(__xludf.DUMMYFUNCTION("""COMPUTED_VALUE"""),"Deals X*15 Order and X*15 Chaos damage to all enemies where X is equal to SP spent.")</f>
        <v>Deals X*15 Order and X*15 Chaos damage to all enemies where X is equal to SP spent.</v>
      </c>
      <c r="F254" s="16" t="str">
        <f>IFERROR(__xludf.DUMMYFUNCTION("""COMPUTED_VALUE"""),"Cannot Avoid")</f>
        <v>Cannot Avoid</v>
      </c>
      <c r="G254" s="16" t="str">
        <f>IFERROR(__xludf.DUMMYFUNCTION("""COMPUTED_VALUE"""),"All")</f>
        <v>All</v>
      </c>
      <c r="H254" s="16" t="str">
        <f>IFERROR(__xludf.DUMMYFUNCTION("""COMPUTED_VALUE"""),"Stasis")</f>
        <v>Stasis</v>
      </c>
    </row>
    <row r="255">
      <c r="A255" s="16" t="str">
        <f>IFERROR(__xludf.DUMMYFUNCTION("""COMPUTED_VALUE"""),"Contradiction")</f>
        <v>Contradiction</v>
      </c>
      <c r="B255" s="16">
        <f>IFERROR(__xludf.DUMMYFUNCTION("""COMPUTED_VALUE"""),1.0)</f>
        <v>1</v>
      </c>
      <c r="C255" s="16" t="str">
        <f>IFERROR(__xludf.DUMMYFUNCTION("""COMPUTED_VALUE"""),"X")</f>
        <v>X</v>
      </c>
      <c r="D255" s="16"/>
      <c r="E255" s="16" t="str">
        <f>IFERROR(__xludf.DUMMYFUNCTION("""COMPUTED_VALUE"""),"Deals X*50 Order and X*50 Chaos damage to a single enemy where X is equal to SP spent.")</f>
        <v>Deals X*50 Order and X*50 Chaos damage to a single enemy where X is equal to SP spent.</v>
      </c>
      <c r="F255" s="16" t="str">
        <f>IFERROR(__xludf.DUMMYFUNCTION("""COMPUTED_VALUE"""),"Hit/Miss")</f>
        <v>Hit/Miss</v>
      </c>
      <c r="G255" s="16">
        <f>IFERROR(__xludf.DUMMYFUNCTION("""COMPUTED_VALUE"""),1.0)</f>
        <v>1</v>
      </c>
      <c r="H255" s="16" t="str">
        <f>IFERROR(__xludf.DUMMYFUNCTION("""COMPUTED_VALUE"""),"Stasis")</f>
        <v>Stasis</v>
      </c>
    </row>
    <row r="256">
      <c r="A256" s="16" t="str">
        <f>IFERROR(__xludf.DUMMYFUNCTION("""COMPUTED_VALUE"""),"Mass Static Breakdown")</f>
        <v>Mass Static Breakdown</v>
      </c>
      <c r="B256" s="16">
        <f>IFERROR(__xludf.DUMMYFUNCTION("""COMPUTED_VALUE"""),6.0)</f>
        <v>6</v>
      </c>
      <c r="C256" s="16" t="str">
        <f>IFERROR(__xludf.DUMMYFUNCTION("""COMPUTED_VALUE"""),"X")</f>
        <v>X</v>
      </c>
      <c r="D256" s="16"/>
      <c r="E256" s="16" t="str">
        <f>IFERROR(__xludf.DUMMYFUNCTION("""COMPUTED_VALUE"""),"Deals X*5 Order and X*5 Chaos damage per round to all enemies for 3 rounds where X is equal to SP spent.")</f>
        <v>Deals X*5 Order and X*5 Chaos damage per round to all enemies for 3 rounds where X is equal to SP spent.</v>
      </c>
      <c r="F256" s="16" t="str">
        <f>IFERROR(__xludf.DUMMYFUNCTION("""COMPUTED_VALUE"""),"Cannot Avoid")</f>
        <v>Cannot Avoid</v>
      </c>
      <c r="G256" s="16" t="str">
        <f>IFERROR(__xludf.DUMMYFUNCTION("""COMPUTED_VALUE"""),"All")</f>
        <v>All</v>
      </c>
      <c r="H256" s="16" t="str">
        <f>IFERROR(__xludf.DUMMYFUNCTION("""COMPUTED_VALUE"""),"Stasis")</f>
        <v>Stasis</v>
      </c>
    </row>
    <row r="257">
      <c r="A257" s="16" t="str">
        <f>IFERROR(__xludf.DUMMYFUNCTION("""COMPUTED_VALUE"""),"Stasis Madness")</f>
        <v>Stasis Madness</v>
      </c>
      <c r="B257" s="16">
        <f>IFERROR(__xludf.DUMMYFUNCTION("""COMPUTED_VALUE"""),6.0)</f>
        <v>6</v>
      </c>
      <c r="C257" s="16" t="str">
        <f>IFERROR(__xludf.DUMMYFUNCTION("""COMPUTED_VALUE"""),"X*100")</f>
        <v>X*100</v>
      </c>
      <c r="D257" s="16"/>
      <c r="E257" s="16" t="str">
        <f>IFERROR(__xludf.DUMMYFUNCTION("""COMPUTED_VALUE"""),"Target becomes completely unresponsive for X rounds")</f>
        <v>Target becomes completely unresponsive for X rounds</v>
      </c>
      <c r="F257" s="16" t="str">
        <f>IFERROR(__xludf.DUMMYFUNCTION("""COMPUTED_VALUE"""),"Fail/Succeed")</f>
        <v>Fail/Succeed</v>
      </c>
      <c r="G257" s="16"/>
      <c r="H257" s="16" t="str">
        <f>IFERROR(__xludf.DUMMYFUNCTION("""COMPUTED_VALUE"""),"Stasis")</f>
        <v>Stasis</v>
      </c>
    </row>
    <row r="258">
      <c r="A258" s="16" t="str">
        <f>IFERROR(__xludf.DUMMYFUNCTION("""COMPUTED_VALUE"""),"Stasis Meteor Shower")</f>
        <v>Stasis Meteor Shower</v>
      </c>
      <c r="B258" s="16">
        <f>IFERROR(__xludf.DUMMYFUNCTION("""COMPUTED_VALUE"""),9.0)</f>
        <v>9</v>
      </c>
      <c r="C258" s="16">
        <f>IFERROR(__xludf.DUMMYFUNCTION("""COMPUTED_VALUE"""),300.0)</f>
        <v>300</v>
      </c>
      <c r="D258" s="16"/>
      <c r="E258" s="16" t="str">
        <f>IFERROR(__xludf.DUMMYFUNCTION("""COMPUTED_VALUE"""),"10,000 order, 10,000 chaos damage to all enemies 15% chance of stun 3.")</f>
        <v>10,000 order, 10,000 chaos damage to all enemies 15% chance of stun 3.</v>
      </c>
      <c r="F258" s="16" t="str">
        <f>IFERROR(__xludf.DUMMYFUNCTION("""COMPUTED_VALUE"""),"Cannot be avoided")</f>
        <v>Cannot be avoided</v>
      </c>
      <c r="G258" s="16"/>
      <c r="H258" s="16" t="str">
        <f>IFERROR(__xludf.DUMMYFUNCTION("""COMPUTED_VALUE"""),"Stasis")</f>
        <v>Stasis</v>
      </c>
    </row>
    <row r="259">
      <c r="A259" s="16" t="str">
        <f>IFERROR(__xludf.DUMMYFUNCTION("""COMPUTED_VALUE"""),"Stasis Shield")</f>
        <v>Stasis Shield</v>
      </c>
      <c r="B259" s="16">
        <f>IFERROR(__xludf.DUMMYFUNCTION("""COMPUTED_VALUE"""),4.0)</f>
        <v>4</v>
      </c>
      <c r="C259" s="16">
        <f>IFERROR(__xludf.DUMMYFUNCTION("""COMPUTED_VALUE"""),40.0)</f>
        <v>40</v>
      </c>
      <c r="D259" s="16"/>
      <c r="E259" s="16" t="str">
        <f>IFERROR(__xludf.DUMMYFUNCTION("""COMPUTED_VALUE"""),"X4 def to selected target, and Immunity to order and chaos.")</f>
        <v>X4 def to selected target, and Immunity to order and chaos.</v>
      </c>
      <c r="F259" s="16" t="str">
        <f>IFERROR(__xludf.DUMMYFUNCTION("""COMPUTED_VALUE"""),"Will Succeed")</f>
        <v>Will Succeed</v>
      </c>
      <c r="G259" s="16"/>
      <c r="H259" s="16" t="str">
        <f>IFERROR(__xludf.DUMMYFUNCTION("""COMPUTED_VALUE"""),"Stasis")</f>
        <v>Stasis</v>
      </c>
    </row>
    <row r="260">
      <c r="A260" s="16" t="str">
        <f>IFERROR(__xludf.DUMMYFUNCTION("""COMPUTED_VALUE"""),"Stasis Storm")</f>
        <v>Stasis Storm</v>
      </c>
      <c r="B260" s="16">
        <f>IFERROR(__xludf.DUMMYFUNCTION("""COMPUTED_VALUE"""),2.0)</f>
        <v>2</v>
      </c>
      <c r="C260" s="16">
        <f>IFERROR(__xludf.DUMMYFUNCTION("""COMPUTED_VALUE"""),20.0)</f>
        <v>20</v>
      </c>
      <c r="D260" s="16"/>
      <c r="E260" s="16" t="str">
        <f>IFERROR(__xludf.DUMMYFUNCTION("""COMPUTED_VALUE"""),"1000 continuous order, 1000 continuous chaos damage.")</f>
        <v>1000 continuous order, 1000 continuous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Strike")</f>
        <v>Stasis Strike</v>
      </c>
      <c r="B261" s="16">
        <f>IFERROR(__xludf.DUMMYFUNCTION("""COMPUTED_VALUE"""),1.0)</f>
        <v>1</v>
      </c>
      <c r="C261" s="16">
        <f>IFERROR(__xludf.DUMMYFUNCTION("""COMPUTED_VALUE"""),10.0)</f>
        <v>10</v>
      </c>
      <c r="D261" s="16"/>
      <c r="E261" s="16" t="str">
        <f>IFERROR(__xludf.DUMMYFUNCTION("""COMPUTED_VALUE"""),"500 order, 500 chaos damage")</f>
        <v>500 order, 500 chaos damage</v>
      </c>
      <c r="F261" s="16" t="str">
        <f>IFERROR(__xludf.DUMMYFUNCTION("""COMPUTED_VALUE"""),"Hit or Miss")</f>
        <v>Hit or Miss</v>
      </c>
      <c r="G261" s="16">
        <f>IFERROR(__xludf.DUMMYFUNCTION("""COMPUTED_VALUE"""),1.0)</f>
        <v>1</v>
      </c>
      <c r="H261" s="16" t="str">
        <f>IFERROR(__xludf.DUMMYFUNCTION("""COMPUTED_VALUE"""),"Stasis")</f>
        <v>Stasis</v>
      </c>
    </row>
    <row r="262">
      <c r="A262" s="16" t="str">
        <f>IFERROR(__xludf.DUMMYFUNCTION("""COMPUTED_VALUE"""),"Stasis Transformation")</f>
        <v>Stasis Transformation</v>
      </c>
      <c r="B262" s="16">
        <f>IFERROR(__xludf.DUMMYFUNCTION("""COMPUTED_VALUE"""),8.0)</f>
        <v>8</v>
      </c>
      <c r="C262" s="16">
        <f>IFERROR(__xludf.DUMMYFUNCTION("""COMPUTED_VALUE"""),200.0)</f>
        <v>200</v>
      </c>
      <c r="D262" s="16"/>
      <c r="E262" s="16" t="str">
        <f>IFERROR(__xludf.DUMMYFUNCTION("""COMPUTED_VALUE"""),"X4 order and chaos damage for self and allies until end of battle.")</f>
        <v>X4 order and chaos damage for self and allies until end of battle.</v>
      </c>
      <c r="F262" s="16" t="str">
        <f>IFERROR(__xludf.DUMMYFUNCTION("""COMPUTED_VALUE"""),"Will succeed")</f>
        <v>Will succeed</v>
      </c>
      <c r="G262" s="16"/>
      <c r="H262" s="16" t="str">
        <f>IFERROR(__xludf.DUMMYFUNCTION("""COMPUTED_VALUE"""),"Stasis")</f>
        <v>Stasis</v>
      </c>
    </row>
    <row r="263">
      <c r="A263" s="16" t="str">
        <f>IFERROR(__xludf.DUMMYFUNCTION("""COMPUTED_VALUE"""),"Stasis Tsunami")</f>
        <v>Stasis Tsunami</v>
      </c>
      <c r="B263" s="16">
        <f>IFERROR(__xludf.DUMMYFUNCTION("""COMPUTED_VALUE"""),9.0)</f>
        <v>9</v>
      </c>
      <c r="C263" s="16">
        <f>IFERROR(__xludf.DUMMYFUNCTION("""COMPUTED_VALUE"""),300.0)</f>
        <v>300</v>
      </c>
      <c r="D263" s="16"/>
      <c r="E263" s="16" t="str">
        <f>IFERROR(__xludf.DUMMYFUNCTION("""COMPUTED_VALUE"""),"10,000 order, 10,000 chaos damage to all enemies.")</f>
        <v>10,000 order, 10,000 chaos damage to all enemies.</v>
      </c>
      <c r="F263" s="16" t="str">
        <f>IFERROR(__xludf.DUMMYFUNCTION("""COMPUTED_VALUE"""),"Cannot be avoided")</f>
        <v>Cannot be avoided</v>
      </c>
      <c r="G263" s="16"/>
      <c r="H263" s="16" t="str">
        <f>IFERROR(__xludf.DUMMYFUNCTION("""COMPUTED_VALUE"""),"Stasis")</f>
        <v>Stasis</v>
      </c>
    </row>
    <row r="264">
      <c r="A264" s="16" t="str">
        <f>IFERROR(__xludf.DUMMYFUNCTION("""COMPUTED_VALUE"""),"Static Breakdown")</f>
        <v>Static Breakdown</v>
      </c>
      <c r="B264" s="16">
        <f>IFERROR(__xludf.DUMMYFUNCTION("""COMPUTED_VALUE"""),5.0)</f>
        <v>5</v>
      </c>
      <c r="C264" s="16" t="str">
        <f>IFERROR(__xludf.DUMMYFUNCTION("""COMPUTED_VALUE"""),"X")</f>
        <v>X</v>
      </c>
      <c r="D264" s="16"/>
      <c r="E264" s="16" t="str">
        <f>IFERROR(__xludf.DUMMYFUNCTION("""COMPUTED_VALUE"""),"Deals X*25 Order and X*25 Chaos damage per round for 3 rounds to a single target where X is equal to SP spent.")</f>
        <v>Deals X*25 Order and X*25 Chaos damage per round for 3 rounds to a single target where X is equal to SP spent.</v>
      </c>
      <c r="F264" s="16" t="str">
        <f>IFERROR(__xludf.DUMMYFUNCTION("""COMPUTED_VALUE"""),"Hit/Miss")</f>
        <v>Hit/Miss</v>
      </c>
      <c r="G264" s="16">
        <f>IFERROR(__xludf.DUMMYFUNCTION("""COMPUTED_VALUE"""),1.0)</f>
        <v>1</v>
      </c>
      <c r="H264" s="16" t="str">
        <f>IFERROR(__xludf.DUMMYFUNCTION("""COMPUTED_VALUE"""),"Stasis")</f>
        <v>Stasis</v>
      </c>
    </row>
    <row r="265">
      <c r="A265" s="16" t="str">
        <f>IFERROR(__xludf.DUMMYFUNCTION("""COMPUTED_VALUE"""),"Tower Of Stasis")</f>
        <v>Tower Of Stasis</v>
      </c>
      <c r="B265" s="16">
        <f>IFERROR(__xludf.DUMMYFUNCTION("""COMPUTED_VALUE"""),8.0)</f>
        <v>8</v>
      </c>
      <c r="C265" s="16">
        <f>IFERROR(__xludf.DUMMYFUNCTION("""COMPUTED_VALUE"""),200.0)</f>
        <v>200</v>
      </c>
      <c r="D265" s="16"/>
      <c r="E26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5" s="16" t="str">
        <f>IFERROR(__xludf.DUMMYFUNCTION("""COMPUTED_VALUE"""),"Fail or succeed")</f>
        <v>Fail or succeed</v>
      </c>
      <c r="G265" s="16">
        <f>IFERROR(__xludf.DUMMYFUNCTION("""COMPUTED_VALUE"""),1.0)</f>
        <v>1</v>
      </c>
      <c r="H265" s="16" t="str">
        <f>IFERROR(__xludf.DUMMYFUNCTION("""COMPUTED_VALUE"""),"Stasis")</f>
        <v>Stasis</v>
      </c>
    </row>
    <row r="266">
      <c r="A266" s="16" t="str">
        <f>IFERROR(__xludf.DUMMYFUNCTION("""COMPUTED_VALUE"""),"Brewing Storm")</f>
        <v>Brewing Storm</v>
      </c>
      <c r="B266" s="16">
        <f>IFERROR(__xludf.DUMMYFUNCTION("""COMPUTED_VALUE"""),9.0)</f>
        <v>9</v>
      </c>
      <c r="C266" s="16">
        <f>IFERROR(__xludf.DUMMYFUNCTION("""COMPUTED_VALUE"""),500.0)</f>
        <v>500</v>
      </c>
      <c r="D266" s="16"/>
      <c r="E2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6" s="16" t="str">
        <f>IFERROR(__xludf.DUMMYFUNCTION("""COMPUTED_VALUE"""),"Will Succeed")</f>
        <v>Will Succeed</v>
      </c>
      <c r="G266" s="16" t="str">
        <f>IFERROR(__xludf.DUMMYFUNCTION("""COMPUTED_VALUE"""),"All")</f>
        <v>All</v>
      </c>
      <c r="H266" s="16" t="str">
        <f>IFERROR(__xludf.DUMMYFUNCTION("""COMPUTED_VALUE"""),"Storm")</f>
        <v>Storm</v>
      </c>
    </row>
    <row r="267">
      <c r="A267" s="16" t="str">
        <f>IFERROR(__xludf.DUMMYFUNCTION("""COMPUTED_VALUE"""),"Calm storm")</f>
        <v>Calm storm</v>
      </c>
      <c r="B267" s="16">
        <f>IFERROR(__xludf.DUMMYFUNCTION("""COMPUTED_VALUE"""),7.0)</f>
        <v>7</v>
      </c>
      <c r="C267" s="16" t="str">
        <f>IFERROR(__xludf.DUMMYFUNCTION("""COMPUTED_VALUE"""),"X")</f>
        <v>X</v>
      </c>
      <c r="D267" s="16"/>
      <c r="E267" s="16" t="str">
        <f>IFERROR(__xludf.DUMMYFUNCTION("""COMPUTED_VALUE"""),"Negate X*4 points of storm damage.")</f>
        <v>Negate X*4 points of storm damage.</v>
      </c>
      <c r="F267" s="16" t="str">
        <f>IFERROR(__xludf.DUMMYFUNCTION("""COMPUTED_VALUE"""),"Fail/Succeed")</f>
        <v>Fail/Succeed</v>
      </c>
      <c r="G267" s="16"/>
      <c r="H267" s="16" t="str">
        <f>IFERROR(__xludf.DUMMYFUNCTION("""COMPUTED_VALUE"""),"Storm")</f>
        <v>Storm</v>
      </c>
    </row>
    <row r="268">
      <c r="A268" s="16" t="str">
        <f>IFERROR(__xludf.DUMMYFUNCTION("""COMPUTED_VALUE"""),"Chain Lightning")</f>
        <v>Chain Lightning</v>
      </c>
      <c r="B268" s="16">
        <f>IFERROR(__xludf.DUMMYFUNCTION("""COMPUTED_VALUE"""),5.0)</f>
        <v>5</v>
      </c>
      <c r="C268" s="16" t="str">
        <f>IFERROR(__xludf.DUMMYFUNCTION("""COMPUTED_VALUE"""),"X")</f>
        <v>X</v>
      </c>
      <c r="D268" s="16"/>
      <c r="E268" s="16" t="str">
        <f>IFERROR(__xludf.DUMMYFUNCTION("""COMPUTED_VALUE"""),"Deals X*25 Storm damage to all enemies where X is equal to SP spent.")</f>
        <v>Deals X*25 Storm damage to all enemies where X is equal to SP spent.</v>
      </c>
      <c r="F268" s="16" t="str">
        <f>IFERROR(__xludf.DUMMYFUNCTION("""COMPUTED_VALUE"""),"Cannot Avoid")</f>
        <v>Cannot Avoid</v>
      </c>
      <c r="G268" s="16" t="str">
        <f>IFERROR(__xludf.DUMMYFUNCTION("""COMPUTED_VALUE"""),"All")</f>
        <v>All</v>
      </c>
      <c r="H268" s="16" t="str">
        <f>IFERROR(__xludf.DUMMYFUNCTION("""COMPUTED_VALUE"""),"Storm")</f>
        <v>Storm</v>
      </c>
    </row>
    <row r="269">
      <c r="A269" s="16" t="str">
        <f>IFERROR(__xludf.DUMMYFUNCTION("""COMPUTED_VALUE"""),"Cyclone")</f>
        <v>Cyclone</v>
      </c>
      <c r="B269" s="16">
        <f>IFERROR(__xludf.DUMMYFUNCTION("""COMPUTED_VALUE"""),3.0)</f>
        <v>3</v>
      </c>
      <c r="C269" s="16">
        <f>IFERROR(__xludf.DUMMYFUNCTION("""COMPUTED_VALUE"""),240.0)</f>
        <v>240</v>
      </c>
      <c r="D269" s="16"/>
      <c r="E269" s="16" t="str">
        <f>IFERROR(__xludf.DUMMYFUNCTION("""COMPUTED_VALUE"""),"3000 Storm Damage and 3000 Water damage to all enemies. ")</f>
        <v>3000 Storm Damage and 3000 Water damage to all enemies. </v>
      </c>
      <c r="F269" s="16" t="str">
        <f>IFERROR(__xludf.DUMMYFUNCTION("""COMPUTED_VALUE"""),"Cannot Avoid")</f>
        <v>Cannot Avoid</v>
      </c>
      <c r="G269" s="16"/>
      <c r="H269" s="16" t="str">
        <f>IFERROR(__xludf.DUMMYFUNCTION("""COMPUTED_VALUE"""),"Storm")</f>
        <v>Storm</v>
      </c>
    </row>
    <row r="270">
      <c r="A270" s="16" t="str">
        <f>IFERROR(__xludf.DUMMYFUNCTION("""COMPUTED_VALUE"""),"Dreading Storm")</f>
        <v>Dreading Storm</v>
      </c>
      <c r="B270" s="16">
        <f>IFERROR(__xludf.DUMMYFUNCTION("""COMPUTED_VALUE"""),8.0)</f>
        <v>8</v>
      </c>
      <c r="C270" s="16">
        <f>IFERROR(__xludf.DUMMYFUNCTION("""COMPUTED_VALUE"""),200.0)</f>
        <v>200</v>
      </c>
      <c r="D270" s="16"/>
      <c r="E270" s="16" t="str">
        <f>IFERROR(__xludf.DUMMYFUNCTION("""COMPUTED_VALUE"""),"5000 storm damage to all enemies, 50% chance to negate the next incoming stun attempts.")</f>
        <v>5000 storm damage to all enemies, 50% chance to negate the next incoming stun attempts.</v>
      </c>
      <c r="F270" s="16" t="str">
        <f>IFERROR(__xludf.DUMMYFUNCTION("""COMPUTED_VALUE"""),"Cannot Avoid")</f>
        <v>Cannot Avoid</v>
      </c>
      <c r="G270" s="16"/>
      <c r="H270" s="16" t="str">
        <f>IFERROR(__xludf.DUMMYFUNCTION("""COMPUTED_VALUE"""),"Storm")</f>
        <v>Storm</v>
      </c>
    </row>
    <row r="271">
      <c r="A271" s="16" t="str">
        <f>IFERROR(__xludf.DUMMYFUNCTION("""COMPUTED_VALUE"""),"Eel Nado")</f>
        <v>Eel Nado</v>
      </c>
      <c r="B271" s="16">
        <f>IFERROR(__xludf.DUMMYFUNCTION("""COMPUTED_VALUE"""),9.0)</f>
        <v>9</v>
      </c>
      <c r="C271" s="16">
        <f>IFERROR(__xludf.DUMMYFUNCTION("""COMPUTED_VALUE"""),800.0)</f>
        <v>800</v>
      </c>
      <c r="D271" s="16"/>
      <c r="E271" s="16" t="str">
        <f>IFERROR(__xludf.DUMMYFUNCTION("""COMPUTED_VALUE"""),"20,000 storm and water damage to all enemies, 75% chance to summon 2 Eel Sharks if the battle is in water. ")</f>
        <v>20,000 storm and water damage to all enemies, 75% chance to summon 2 Eel Sharks if the battle is in water. </v>
      </c>
      <c r="F271" s="16" t="str">
        <f>IFERROR(__xludf.DUMMYFUNCTION("""COMPUTED_VALUE"""),"Hit/Miss")</f>
        <v>Hit/Miss</v>
      </c>
      <c r="G271" s="16">
        <f>IFERROR(__xludf.DUMMYFUNCTION("""COMPUTED_VALUE"""),1.0)</f>
        <v>1</v>
      </c>
      <c r="H271" s="16" t="str">
        <f>IFERROR(__xludf.DUMMYFUNCTION("""COMPUTED_VALUE"""),"Storm")</f>
        <v>Storm</v>
      </c>
    </row>
    <row r="272">
      <c r="A272" s="16" t="str">
        <f>IFERROR(__xludf.DUMMYFUNCTION("""COMPUTED_VALUE"""),"Elemental Storm")</f>
        <v>Elemental Storm</v>
      </c>
      <c r="B272" s="16">
        <f>IFERROR(__xludf.DUMMYFUNCTION("""COMPUTED_VALUE"""),9.0)</f>
        <v>9</v>
      </c>
      <c r="C272" s="16">
        <f>IFERROR(__xludf.DUMMYFUNCTION("""COMPUTED_VALUE"""),7200.0)</f>
        <v>7200</v>
      </c>
      <c r="D272" s="16"/>
      <c r="E272" s="16" t="str">
        <f>IFERROR(__xludf.DUMMYFUNCTION("""COMPUTED_VALUE"""),"20,000 fire, water, earth, light, dark, order, chaos, nature, and storm damage to all enemies.")</f>
        <v>20,000 fire, water, earth, light, dark, order, chaos, nature, and storm damage to all enemies.</v>
      </c>
      <c r="F272" s="16" t="str">
        <f>IFERROR(__xludf.DUMMYFUNCTION("""COMPUTED_VALUE"""),"Cannot Avoid")</f>
        <v>Cannot Avoid</v>
      </c>
      <c r="G272" s="16"/>
      <c r="H272" s="16" t="str">
        <f>IFERROR(__xludf.DUMMYFUNCTION("""COMPUTED_VALUE"""),"Storm")</f>
        <v>Storm</v>
      </c>
    </row>
    <row r="273">
      <c r="A273" s="16" t="str">
        <f>IFERROR(__xludf.DUMMYFUNCTION("""COMPUTED_VALUE"""),"Freezing Fog")</f>
        <v>Freezing Fog</v>
      </c>
      <c r="B273" s="16">
        <f>IFERROR(__xludf.DUMMYFUNCTION("""COMPUTED_VALUE"""),9.0)</f>
        <v>9</v>
      </c>
      <c r="C273" s="16">
        <f>IFERROR(__xludf.DUMMYFUNCTION("""COMPUTED_VALUE"""),300.0)</f>
        <v>300</v>
      </c>
      <c r="D273" s="16"/>
      <c r="E273" s="16" t="str">
        <f>IFERROR(__xludf.DUMMYFUNCTION("""COMPUTED_VALUE"""),"50% chance of freezing 1d6 enemies.")</f>
        <v>50% chance of freezing 1d6 enemies.</v>
      </c>
      <c r="F273" s="16" t="str">
        <f>IFERROR(__xludf.DUMMYFUNCTION("""COMPUTED_VALUE"""),"Will Succeed")</f>
        <v>Will Succeed</v>
      </c>
      <c r="G273" s="16" t="str">
        <f>IFERROR(__xludf.DUMMYFUNCTION("""COMPUTED_VALUE"""),"1d6")</f>
        <v>1d6</v>
      </c>
      <c r="H273" s="16" t="str">
        <f>IFERROR(__xludf.DUMMYFUNCTION("""COMPUTED_VALUE"""),"Storm")</f>
        <v>Storm</v>
      </c>
    </row>
    <row r="274">
      <c r="A274" s="16" t="str">
        <f>IFERROR(__xludf.DUMMYFUNCTION("""COMPUTED_VALUE"""),"Gust of Wind")</f>
        <v>Gust of Wind</v>
      </c>
      <c r="B274" s="16">
        <f>IFERROR(__xludf.DUMMYFUNCTION("""COMPUTED_VALUE"""),2.0)</f>
        <v>2</v>
      </c>
      <c r="C274" s="16">
        <f>IFERROR(__xludf.DUMMYFUNCTION("""COMPUTED_VALUE"""),80.0)</f>
        <v>80</v>
      </c>
      <c r="D274" s="16"/>
      <c r="E274" s="16" t="str">
        <f>IFERROR(__xludf.DUMMYFUNCTION("""COMPUTED_VALUE"""),"2000 storm damage to all enemies. 50% chance to remove those targets from battle.")</f>
        <v>2000 storm damage to all enemies. 50% chance to remove those targets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IFERROR(__xludf.DUMMYFUNCTION("""COMPUTED_VALUE"""),"Hurricane")</f>
        <v>Hurricane</v>
      </c>
      <c r="B275" s="16">
        <f>IFERROR(__xludf.DUMMYFUNCTION("""COMPUTED_VALUE"""),3.0)</f>
        <v>3</v>
      </c>
      <c r="C275" s="16" t="str">
        <f>IFERROR(__xludf.DUMMYFUNCTION("""COMPUTED_VALUE"""),"d12*20")</f>
        <v>d12*20</v>
      </c>
      <c r="D275" s="16"/>
      <c r="E275"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5" s="16" t="str">
        <f>IFERROR(__xludf.DUMMYFUNCTION("""COMPUTED_VALUE"""),"Cannot Avoid")</f>
        <v>Cannot Avoid</v>
      </c>
      <c r="G275" s="16" t="str">
        <f>IFERROR(__xludf.DUMMYFUNCTION("""COMPUTED_VALUE"""),"All")</f>
        <v>All</v>
      </c>
      <c r="H275" s="16" t="str">
        <f>IFERROR(__xludf.DUMMYFUNCTION("""COMPUTED_VALUE"""),"Storm")</f>
        <v>Storm</v>
      </c>
    </row>
    <row r="276">
      <c r="A276" s="16" t="str">
        <f>IFERROR(__xludf.DUMMYFUNCTION("""COMPUTED_VALUE"""),"Lightning Strike")</f>
        <v>Lightning Strike</v>
      </c>
      <c r="B276" s="16">
        <f>IFERROR(__xludf.DUMMYFUNCTION("""COMPUTED_VALUE"""),1.0)</f>
        <v>1</v>
      </c>
      <c r="C276" s="16" t="str">
        <f>IFERROR(__xludf.DUMMYFUNCTION("""COMPUTED_VALUE"""),"X")</f>
        <v>X</v>
      </c>
      <c r="D276" s="16"/>
      <c r="E276" s="16" t="str">
        <f>IFERROR(__xludf.DUMMYFUNCTION("""COMPUTED_VALUE"""),"Deals X*100 Storm damage to a single enemy where X is equal to SP spent.")</f>
        <v>Deals X*100 Storm damage to a single enemy where X is equal to SP spent.</v>
      </c>
      <c r="F276" s="16" t="str">
        <f>IFERROR(__xludf.DUMMYFUNCTION("""COMPUTED_VALUE"""),"Hit/Miss")</f>
        <v>Hit/Miss</v>
      </c>
      <c r="G276" s="16">
        <f>IFERROR(__xludf.DUMMYFUNCTION("""COMPUTED_VALUE"""),1.0)</f>
        <v>1</v>
      </c>
      <c r="H276" s="16" t="str">
        <f>IFERROR(__xludf.DUMMYFUNCTION("""COMPUTED_VALUE"""),"Storm")</f>
        <v>Storm</v>
      </c>
    </row>
    <row r="277">
      <c r="A277" s="16" t="str">
        <f>IFERROR(__xludf.DUMMYFUNCTION("""COMPUTED_VALUE"""),"Mass Charge")</f>
        <v>Mass Charge</v>
      </c>
      <c r="B277" s="16">
        <f>IFERROR(__xludf.DUMMYFUNCTION("""COMPUTED_VALUE"""),6.0)</f>
        <v>6</v>
      </c>
      <c r="C277" s="16" t="str">
        <f>IFERROR(__xludf.DUMMYFUNCTION("""COMPUTED_VALUE"""),"X")</f>
        <v>X</v>
      </c>
      <c r="D277" s="16"/>
      <c r="E277" s="16" t="str">
        <f>IFERROR(__xludf.DUMMYFUNCTION("""COMPUTED_VALUE"""),"Deals X*10 Storm damage per round to all enemies for 3 rounds where X is equal to SP spent.")</f>
        <v>Deals X*10 Storm damage per round to all enemies for 3 rounds where X is equal to SP spent.</v>
      </c>
      <c r="F277" s="16" t="str">
        <f>IFERROR(__xludf.DUMMYFUNCTION("""COMPUTED_VALUE"""),"Cannot Avoid")</f>
        <v>Cannot Avoid</v>
      </c>
      <c r="G277" s="16" t="str">
        <f>IFERROR(__xludf.DUMMYFUNCTION("""COMPUTED_VALUE"""),"All")</f>
        <v>All</v>
      </c>
      <c r="H277" s="16" t="str">
        <f>IFERROR(__xludf.DUMMYFUNCTION("""COMPUTED_VALUE"""),"Storm")</f>
        <v>Storm</v>
      </c>
    </row>
    <row r="278">
      <c r="A278" s="16" t="str">
        <f>IFERROR(__xludf.DUMMYFUNCTION("""COMPUTED_VALUE"""),"Roaring Frost Winds")</f>
        <v>Roaring Frost Winds</v>
      </c>
      <c r="B278" s="16">
        <f>IFERROR(__xludf.DUMMYFUNCTION("""COMPUTED_VALUE"""),8.0)</f>
        <v>8</v>
      </c>
      <c r="C278" s="16">
        <f>IFERROR(__xludf.DUMMYFUNCTION("""COMPUTED_VALUE"""),560.0)</f>
        <v>560</v>
      </c>
      <c r="D278" s="16"/>
      <c r="E278" s="16" t="str">
        <f>IFERROR(__xludf.DUMMYFUNCTION("""COMPUTED_VALUE"""),"14,000 storm damage to all enemies, 50% chance to freeze all targets.")</f>
        <v>14,000 storm damage to all enemies, 50% chance to freeze all targets.</v>
      </c>
      <c r="F278" s="16" t="str">
        <f>IFERROR(__xludf.DUMMYFUNCTION("""COMPUTED_VALUE"""),"Cannot Avoid")</f>
        <v>Cannot Avoid</v>
      </c>
      <c r="G278" s="16"/>
      <c r="H278" s="16" t="str">
        <f>IFERROR(__xludf.DUMMYFUNCTION("""COMPUTED_VALUE"""),"Storm")</f>
        <v>Storm</v>
      </c>
    </row>
    <row r="279">
      <c r="A279" s="16" t="str">
        <f>IFERROR(__xludf.DUMMYFUNCTION("""COMPUTED_VALUE"""),"Shocking Strike")</f>
        <v>Shocking Strike</v>
      </c>
      <c r="B279" s="16">
        <f>IFERROR(__xludf.DUMMYFUNCTION("""COMPUTED_VALUE"""),6.0)</f>
        <v>6</v>
      </c>
      <c r="C279" s="16">
        <f>IFERROR(__xludf.DUMMYFUNCTION("""COMPUTED_VALUE"""),240.0)</f>
        <v>240</v>
      </c>
      <c r="D279" s="16"/>
      <c r="E279" s="16" t="str">
        <f>IFERROR(__xludf.DUMMYFUNCTION("""COMPUTED_VALUE"""),"6000 storm damage, Stun 3")</f>
        <v>6000 storm damage, Stun 3</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IFERROR(__xludf.DUMMYFUNCTION("""COMPUTED_VALUE"""),"Shocking Touch")</f>
        <v>Shocking Touch</v>
      </c>
      <c r="B280" s="16">
        <f>IFERROR(__xludf.DUMMYFUNCTION("""COMPUTED_VALUE"""),5.0)</f>
        <v>5</v>
      </c>
      <c r="C280" s="16" t="str">
        <f>IFERROR(__xludf.DUMMYFUNCTION("""COMPUTED_VALUE"""),"X")</f>
        <v>X</v>
      </c>
      <c r="D280" s="16"/>
      <c r="E280" s="16" t="str">
        <f>IFERROR(__xludf.DUMMYFUNCTION("""COMPUTED_VALUE"""),"Deals X*50 Storm damage per round for 3 rounds to a single target where X is equal to SP spent.")</f>
        <v>Deals X*50 Storm damage per round for 3 rounds to a single target where X is equal to SP spent.</v>
      </c>
      <c r="F280" s="16" t="str">
        <f>IFERROR(__xludf.DUMMYFUNCTION("""COMPUTED_VALUE"""),"Hit/Miss")</f>
        <v>Hit/Miss</v>
      </c>
      <c r="G280" s="16">
        <f>IFERROR(__xludf.DUMMYFUNCTION("""COMPUTED_VALUE"""),1.0)</f>
        <v>1</v>
      </c>
      <c r="H280" s="16" t="str">
        <f>IFERROR(__xludf.DUMMYFUNCTION("""COMPUTED_VALUE"""),"Storm")</f>
        <v>Storm</v>
      </c>
    </row>
    <row r="281">
      <c r="A281" s="16" t="str">
        <f>IFERROR(__xludf.DUMMYFUNCTION("""COMPUTED_VALUE"""),"Static Charge")</f>
        <v>Static Charge</v>
      </c>
      <c r="B281" s="16">
        <f>IFERROR(__xludf.DUMMYFUNCTION("""COMPUTED_VALUE"""),4.0)</f>
        <v>4</v>
      </c>
      <c r="C281" s="16" t="str">
        <f>IFERROR(__xludf.DUMMYFUNCTION("""COMPUTED_VALUE"""),"X")</f>
        <v>X</v>
      </c>
      <c r="D281" s="16"/>
      <c r="E281" s="16" t="str">
        <f>IFERROR(__xludf.DUMMYFUNCTION("""COMPUTED_VALUE"""),"Target gains X*4 Storm damage and X*4 Storm resistance, can’t be used on self.")</f>
        <v>Target gains X*4 Storm damage and X*4 Storm resistance, can’t be used on self.</v>
      </c>
      <c r="F281" s="16" t="str">
        <f>IFERROR(__xludf.DUMMYFUNCTION("""COMPUTED_VALUE"""),"Will Succeed")</f>
        <v>Will Succeed</v>
      </c>
      <c r="G281" s="16"/>
      <c r="H281" s="16" t="str">
        <f>IFERROR(__xludf.DUMMYFUNCTION("""COMPUTED_VALUE"""),"Storm")</f>
        <v>Storm</v>
      </c>
    </row>
    <row r="282">
      <c r="A282" s="16" t="str">
        <f>IFERROR(__xludf.DUMMYFUNCTION("""COMPUTED_VALUE"""),"Stun Negation")</f>
        <v>Stun Negation</v>
      </c>
      <c r="B282" s="16">
        <f>IFERROR(__xludf.DUMMYFUNCTION("""COMPUTED_VALUE"""),6.0)</f>
        <v>6</v>
      </c>
      <c r="C282" s="16">
        <f>IFERROR(__xludf.DUMMYFUNCTION("""COMPUTED_VALUE"""),60.0)</f>
        <v>60</v>
      </c>
      <c r="D282" s="16"/>
      <c r="E282" s="16" t="str">
        <f>IFERROR(__xludf.DUMMYFUNCTION("""COMPUTED_VALUE"""),"Negate the next 3 incoming stun attempts.")</f>
        <v>Negate the next 3 incoming stun attempts.</v>
      </c>
      <c r="F282" s="16" t="str">
        <f>IFERROR(__xludf.DUMMYFUNCTION("""COMPUTED_VALUE"""),"Fail/Succeed")</f>
        <v>Fail/Succeed</v>
      </c>
      <c r="G282" s="16"/>
      <c r="H282" s="16" t="str">
        <f>IFERROR(__xludf.DUMMYFUNCTION("""COMPUTED_VALUE"""),"Storm")</f>
        <v>Storm</v>
      </c>
    </row>
    <row r="283">
      <c r="A283" s="16" t="str">
        <f>IFERROR(__xludf.DUMMYFUNCTION("""COMPUTED_VALUE"""),"Stun Wave")</f>
        <v>Stun Wave</v>
      </c>
      <c r="B283" s="16">
        <f>IFERROR(__xludf.DUMMYFUNCTION("""COMPUTED_VALUE"""),1.0)</f>
        <v>1</v>
      </c>
      <c r="C283" s="16">
        <f>IFERROR(__xludf.DUMMYFUNCTION("""COMPUTED_VALUE"""),10.0)</f>
        <v>10</v>
      </c>
      <c r="D283" s="16"/>
      <c r="E283" s="16" t="str">
        <f>IFERROR(__xludf.DUMMYFUNCTION("""COMPUTED_VALUE"""),"Stun 3")</f>
        <v>Stun 3</v>
      </c>
      <c r="F283" s="16" t="str">
        <f>IFERROR(__xludf.DUMMYFUNCTION("""COMPUTED_VALUE"""),"Fail/Succeed")</f>
        <v>Fail/Succeed</v>
      </c>
      <c r="G283" s="16"/>
      <c r="H283" s="16" t="str">
        <f>IFERROR(__xludf.DUMMYFUNCTION("""COMPUTED_VALUE"""),"Storm")</f>
        <v>Storm</v>
      </c>
    </row>
    <row r="284">
      <c r="A284" s="16" t="str">
        <f>IFERROR(__xludf.DUMMYFUNCTION("""COMPUTED_VALUE"""),"Thunderstorm")</f>
        <v>Thunderstorm</v>
      </c>
      <c r="B284" s="16">
        <f>IFERROR(__xludf.DUMMYFUNCTION("""COMPUTED_VALUE"""),6.0)</f>
        <v>6</v>
      </c>
      <c r="C284" s="16">
        <f>IFERROR(__xludf.DUMMYFUNCTION("""COMPUTED_VALUE"""),60.0)</f>
        <v>60</v>
      </c>
      <c r="D284" s="16"/>
      <c r="E284"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4" s="16" t="str">
        <f>IFERROR(__xludf.DUMMYFUNCTION("""COMPUTED_VALUE"""),"Will Succeed")</f>
        <v>Will Succeed</v>
      </c>
      <c r="G284" s="16"/>
      <c r="H284" s="16" t="str">
        <f>IFERROR(__xludf.DUMMYFUNCTION("""COMPUTED_VALUE"""),"Storm")</f>
        <v>Storm</v>
      </c>
    </row>
    <row r="285">
      <c r="A285" s="16" t="str">
        <f>IFERROR(__xludf.DUMMYFUNCTION("""COMPUTED_VALUE"""),"Tornado")</f>
        <v>Tornado</v>
      </c>
      <c r="B285" s="16">
        <f>IFERROR(__xludf.DUMMYFUNCTION("""COMPUTED_VALUE"""),3.0)</f>
        <v>3</v>
      </c>
      <c r="C285" s="16" t="str">
        <f>IFERROR(__xludf.DUMMYFUNCTION("""COMPUTED_VALUE"""),"d20*40")</f>
        <v>d20*40</v>
      </c>
      <c r="D285" s="16"/>
      <c r="E285"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5" s="16" t="str">
        <f>IFERROR(__xludf.DUMMYFUNCTION("""COMPUTED_VALUE"""),"Cannot Avoid")</f>
        <v>Cannot Avoid</v>
      </c>
      <c r="G285" s="16" t="str">
        <f>IFERROR(__xludf.DUMMYFUNCTION("""COMPUTED_VALUE"""),"All")</f>
        <v>All</v>
      </c>
      <c r="H285" s="16" t="str">
        <f>IFERROR(__xludf.DUMMYFUNCTION("""COMPUTED_VALUE"""),"Storm")</f>
        <v>Storm</v>
      </c>
    </row>
    <row r="286">
      <c r="A286" s="16" t="str">
        <f>IFERROR(__xludf.DUMMYFUNCTION("""COMPUTED_VALUE"""),"Tower Of Storm")</f>
        <v>Tower Of Storm</v>
      </c>
      <c r="B286" s="16">
        <f>IFERROR(__xludf.DUMMYFUNCTION("""COMPUTED_VALUE"""),9.0)</f>
        <v>9</v>
      </c>
      <c r="C286" s="16">
        <f>IFERROR(__xludf.DUMMYFUNCTION("""COMPUTED_VALUE"""),300.0)</f>
        <v>300</v>
      </c>
      <c r="D286" s="16"/>
      <c r="E286" s="16" t="str">
        <f>IFERROR(__xludf.DUMMYFUNCTION("""COMPUTED_VALUE"""),"X4 additional storm damage for caster and allies. Plus Storm Immunity to caster only for 3 rounds.")</f>
        <v>X4 additional storm damage for caster and allies. Plus Storm Immunity to caster only for 3 rounds.</v>
      </c>
      <c r="F286" s="16" t="str">
        <f>IFERROR(__xludf.DUMMYFUNCTION("""COMPUTED_VALUE"""),"Fail/Succeed")</f>
        <v>Fail/Succeed</v>
      </c>
      <c r="G286" s="16"/>
      <c r="H286" s="16" t="str">
        <f>IFERROR(__xludf.DUMMYFUNCTION("""COMPUTED_VALUE"""),"Storm")</f>
        <v>Storm</v>
      </c>
    </row>
    <row r="287">
      <c r="A287" s="16" t="str">
        <f>IFERROR(__xludf.DUMMYFUNCTION("""COMPUTED_VALUE"""),"Danse Macabre")</f>
        <v>Danse Macabre</v>
      </c>
      <c r="B287" s="16">
        <f>IFERROR(__xludf.DUMMYFUNCTION("""COMPUTED_VALUE"""),6.0)</f>
        <v>6</v>
      </c>
      <c r="C287" s="16" t="str">
        <f>IFERROR(__xludf.DUMMYFUNCTION("""COMPUTED_VALUE"""),"X")</f>
        <v>X</v>
      </c>
      <c r="D287" s="16"/>
      <c r="E287" s="16" t="str">
        <f>IFERROR(__xludf.DUMMYFUNCTION("""COMPUTED_VALUE"""),"Deals X*5 Light and X*5 Dark damage per round to all enemies for 3 rounds where X is equal to SP spent.")</f>
        <v>Deals X*5 Light and X*5 Dark damage per round to all enemies for 3 rounds where X is equal to SP spent.</v>
      </c>
      <c r="F287" s="16" t="str">
        <f>IFERROR(__xludf.DUMMYFUNCTION("""COMPUTED_VALUE"""),"Cannot Avoid")</f>
        <v>Cannot Avoid</v>
      </c>
      <c r="G287" s="16" t="str">
        <f>IFERROR(__xludf.DUMMYFUNCTION("""COMPUTED_VALUE"""),"All")</f>
        <v>All</v>
      </c>
      <c r="H287" s="16" t="str">
        <f>IFERROR(__xludf.DUMMYFUNCTION("""COMPUTED_VALUE"""),"Twilight")</f>
        <v>Twilight</v>
      </c>
    </row>
    <row r="288">
      <c r="A288" s="16" t="str">
        <f>IFERROR(__xludf.DUMMYFUNCTION("""COMPUTED_VALUE"""),"Lash of Twilight")</f>
        <v>Lash of Twilight</v>
      </c>
      <c r="B288" s="16">
        <f>IFERROR(__xludf.DUMMYFUNCTION("""COMPUTED_VALUE"""),1.0)</f>
        <v>1</v>
      </c>
      <c r="C288" s="16" t="str">
        <f>IFERROR(__xludf.DUMMYFUNCTION("""COMPUTED_VALUE"""),"X")</f>
        <v>X</v>
      </c>
      <c r="D288" s="16"/>
      <c r="E288" s="16" t="str">
        <f>IFERROR(__xludf.DUMMYFUNCTION("""COMPUTED_VALUE"""),"Deals X*50 Light and X*50 Dark damage to a single enemy where X is equal to SP spent.")</f>
        <v>Deals X*50 Light and X*50 Dark damage to a single enemy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IFERROR(__xludf.DUMMYFUNCTION("""COMPUTED_VALUE"""),"Searing Twilight")</f>
        <v>Searing Twilight</v>
      </c>
      <c r="B289" s="16">
        <f>IFERROR(__xludf.DUMMYFUNCTION("""COMPUTED_VALUE"""),5.0)</f>
        <v>5</v>
      </c>
      <c r="C289" s="16" t="str">
        <f>IFERROR(__xludf.DUMMYFUNCTION("""COMPUTED_VALUE"""),"X")</f>
        <v>X</v>
      </c>
      <c r="D289" s="16"/>
      <c r="E289" s="16" t="str">
        <f>IFERROR(__xludf.DUMMYFUNCTION("""COMPUTED_VALUE"""),"Deals X*25 Light and X*25 Dark damage per round for 3 rounds to a single target where X is equal to SP spent.")</f>
        <v>Deals X*25 Light and X*25 Dark damage per round for 3 rounds to a single target where X is equal to SP spent.</v>
      </c>
      <c r="F289" s="16" t="str">
        <f>IFERROR(__xludf.DUMMYFUNCTION("""COMPUTED_VALUE"""),"Hit/Miss")</f>
        <v>Hit/Miss</v>
      </c>
      <c r="G289" s="16">
        <f>IFERROR(__xludf.DUMMYFUNCTION("""COMPUTED_VALUE"""),1.0)</f>
        <v>1</v>
      </c>
      <c r="H289" s="16" t="str">
        <f>IFERROR(__xludf.DUMMYFUNCTION("""COMPUTED_VALUE"""),"Twilight")</f>
        <v>Twilight</v>
      </c>
    </row>
    <row r="290">
      <c r="A290" s="16" t="str">
        <f>IFERROR(__xludf.DUMMYFUNCTION("""COMPUTED_VALUE"""),"The Setting Sun")</f>
        <v>The Setting Sun</v>
      </c>
      <c r="B290" s="16">
        <f>IFERROR(__xludf.DUMMYFUNCTION("""COMPUTED_VALUE"""),5.0)</f>
        <v>5</v>
      </c>
      <c r="C290" s="16" t="str">
        <f>IFERROR(__xludf.DUMMYFUNCTION("""COMPUTED_VALUE"""),"X")</f>
        <v>X</v>
      </c>
      <c r="D290" s="16"/>
      <c r="E290" s="16" t="str">
        <f>IFERROR(__xludf.DUMMYFUNCTION("""COMPUTED_VALUE"""),"Deals X*15 Light and X*15 Dark damage to all enemies where X is equal to SP spent.")</f>
        <v>Deals X*15 Light and X*15 Dark damage to all enemies where X is equal to SP spent.</v>
      </c>
      <c r="F290" s="16" t="str">
        <f>IFERROR(__xludf.DUMMYFUNCTION("""COMPUTED_VALUE"""),"Cannot Avoid")</f>
        <v>Cannot Avoid</v>
      </c>
      <c r="G290" s="16" t="str">
        <f>IFERROR(__xludf.DUMMYFUNCTION("""COMPUTED_VALUE"""),"All")</f>
        <v>All</v>
      </c>
      <c r="H290" s="16" t="str">
        <f>IFERROR(__xludf.DUMMYFUNCTION("""COMPUTED_VALUE"""),"Twilight")</f>
        <v>Twilight</v>
      </c>
    </row>
    <row r="291">
      <c r="A291" s="16" t="str">
        <f>IFERROR(__xludf.DUMMYFUNCTION("""COMPUTED_VALUE"""),"Twilight Masquerade")</f>
        <v>Twilight Masquerade</v>
      </c>
      <c r="B291" s="16">
        <f>IFERROR(__xludf.DUMMYFUNCTION("""COMPUTED_VALUE"""),9.0)</f>
        <v>9</v>
      </c>
      <c r="C291" s="16">
        <f>IFERROR(__xludf.DUMMYFUNCTION("""COMPUTED_VALUE"""),1000.0)</f>
        <v>1000</v>
      </c>
      <c r="D291" s="16"/>
      <c r="E291" s="16" t="str">
        <f>IFERROR(__xludf.DUMMYFUNCTION("""COMPUTED_VALUE"""),"Become Immune to attacks for 3 rounds.")</f>
        <v>Become Immune to attacks for 3 rounds.</v>
      </c>
      <c r="F291" s="16" t="str">
        <f>IFERROR(__xludf.DUMMYFUNCTION("""COMPUTED_VALUE"""),"Fail/Succeed")</f>
        <v>Fail/Succeed</v>
      </c>
      <c r="G291" s="16"/>
      <c r="H291" s="16" t="str">
        <f>IFERROR(__xludf.DUMMYFUNCTION("""COMPUTED_VALUE"""),"Twilight")</f>
        <v>Twilight</v>
      </c>
    </row>
    <row r="292">
      <c r="A292" s="16" t="str">
        <f>IFERROR(__xludf.DUMMYFUNCTION("""COMPUTED_VALUE"""),"Twilight Shield")</f>
        <v>Twilight Shield</v>
      </c>
      <c r="B292" s="16">
        <f>IFERROR(__xludf.DUMMYFUNCTION("""COMPUTED_VALUE"""),5.0)</f>
        <v>5</v>
      </c>
      <c r="C292" s="16">
        <f>IFERROR(__xludf.DUMMYFUNCTION("""COMPUTED_VALUE"""),50.0)</f>
        <v>50</v>
      </c>
      <c r="D292" s="16"/>
      <c r="E292" s="16" t="str">
        <f>IFERROR(__xludf.DUMMYFUNCTION("""COMPUTED_VALUE""")," X2 def, gives immunity to dark and light for self")</f>
        <v> X2 def, gives immunity to dark and light for self</v>
      </c>
      <c r="F292" s="16" t="str">
        <f>IFERROR(__xludf.DUMMYFUNCTION("""COMPUTED_VALUE"""),"Will Succeed")</f>
        <v>Will Succeed</v>
      </c>
      <c r="G292" s="16"/>
      <c r="H292" s="16" t="str">
        <f>IFERROR(__xludf.DUMMYFUNCTION("""COMPUTED_VALUE"""),"Twilight")</f>
        <v>Twilight</v>
      </c>
    </row>
    <row r="293">
      <c r="A293" s="16" t="str">
        <f>IFERROR(__xludf.DUMMYFUNCTION("""COMPUTED_VALUE"""),"Twilight Transformation")</f>
        <v>Twilight Transformation</v>
      </c>
      <c r="B293" s="16">
        <f>IFERROR(__xludf.DUMMYFUNCTION("""COMPUTED_VALUE"""),8.0)</f>
        <v>8</v>
      </c>
      <c r="C293" s="16">
        <f>IFERROR(__xludf.DUMMYFUNCTION("""COMPUTED_VALUE"""),200.0)</f>
        <v>200</v>
      </c>
      <c r="D293" s="16"/>
      <c r="E293" s="16" t="str">
        <f>IFERROR(__xludf.DUMMYFUNCTION("""COMPUTED_VALUE"""),"Grants X4 light and dark damage to twilight spells and weapons for the caster until end of battle.")</f>
        <v>Grants X4 light and dark damage to twilight spells and weapons for the caster until end of battle.</v>
      </c>
      <c r="F293" s="16" t="str">
        <f>IFERROR(__xludf.DUMMYFUNCTION("""COMPUTED_VALUE"""),"Will Succeed")</f>
        <v>Will Succeed</v>
      </c>
      <c r="G293" s="16"/>
      <c r="H293" s="16" t="str">
        <f>IFERROR(__xludf.DUMMYFUNCTION("""COMPUTED_VALUE"""),"Twilight")</f>
        <v>Twilight</v>
      </c>
    </row>
    <row r="294">
      <c r="A294" s="16" t="str">
        <f>IFERROR(__xludf.DUMMYFUNCTION("""COMPUTED_VALUE"""),"1000 Poisons Body")</f>
        <v>1000 Poisons Body</v>
      </c>
      <c r="B294" s="16">
        <f>IFERROR(__xludf.DUMMYFUNCTION("""COMPUTED_VALUE"""),8.0)</f>
        <v>8</v>
      </c>
      <c r="C294" s="16">
        <f>IFERROR(__xludf.DUMMYFUNCTION("""COMPUTED_VALUE"""),500.0)</f>
        <v>500</v>
      </c>
      <c r="D294" s="16"/>
      <c r="E294"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4" s="16" t="str">
        <f>IFERROR(__xludf.DUMMYFUNCTION("""COMPUTED_VALUE"""),"Will Succeed")</f>
        <v>Will Succeed</v>
      </c>
      <c r="G294" s="16" t="str">
        <f>IFERROR(__xludf.DUMMYFUNCTION("""COMPUTED_VALUE"""),"Self")</f>
        <v>Self</v>
      </c>
      <c r="H294" s="16" t="str">
        <f>IFERROR(__xludf.DUMMYFUNCTION("""COMPUTED_VALUE"""),"Voodoo")</f>
        <v>Voodoo</v>
      </c>
    </row>
    <row r="295">
      <c r="A295" s="16" t="str">
        <f>IFERROR(__xludf.DUMMYFUNCTION("""COMPUTED_VALUE"""),"Banish")</f>
        <v>Banish</v>
      </c>
      <c r="B295" s="16">
        <f>IFERROR(__xludf.DUMMYFUNCTION("""COMPUTED_VALUE"""),9.0)</f>
        <v>9</v>
      </c>
      <c r="C295" s="16">
        <f>IFERROR(__xludf.DUMMYFUNCTION("""COMPUTED_VALUE"""),2000.0)</f>
        <v>2000</v>
      </c>
      <c r="D295" s="16"/>
      <c r="E295" s="16" t="str">
        <f>IFERROR(__xludf.DUMMYFUNCTION("""COMPUTED_VALUE"""),"Banish 1 target.")</f>
        <v>Banish 1 target.</v>
      </c>
      <c r="F295" s="16" t="str">
        <f>IFERROR(__xludf.DUMMYFUNCTION("""COMPUTED_VALUE"""),"Fail/succeed")</f>
        <v>Fail/succeed</v>
      </c>
      <c r="G295" s="16"/>
      <c r="H295" s="16" t="str">
        <f>IFERROR(__xludf.DUMMYFUNCTION("""COMPUTED_VALUE"""),"Voodoo")</f>
        <v>Voodoo</v>
      </c>
    </row>
    <row r="296">
      <c r="A296" s="16" t="str">
        <f>IFERROR(__xludf.DUMMYFUNCTION("""COMPUTED_VALUE"""),"Blast of Despair")</f>
        <v>Blast of Despair</v>
      </c>
      <c r="B296" s="16">
        <f>IFERROR(__xludf.DUMMYFUNCTION("""COMPUTED_VALUE"""),6.0)</f>
        <v>6</v>
      </c>
      <c r="C296" s="16" t="str">
        <f>IFERROR(__xludf.DUMMYFUNCTION("""COMPUTED_VALUE"""),"X")</f>
        <v>X</v>
      </c>
      <c r="D296" s="16"/>
      <c r="E296"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6" s="16" t="str">
        <f>IFERROR(__xludf.DUMMYFUNCTION("""COMPUTED_VALUE"""),"Hit/Miss")</f>
        <v>Hit/Miss</v>
      </c>
      <c r="G296" s="16">
        <f>IFERROR(__xludf.DUMMYFUNCTION("""COMPUTED_VALUE"""),1.0)</f>
        <v>1</v>
      </c>
      <c r="H296" s="16" t="str">
        <f>IFERROR(__xludf.DUMMYFUNCTION("""COMPUTED_VALUE"""),"Voodoo")</f>
        <v>Voodoo</v>
      </c>
    </row>
    <row r="297">
      <c r="A297" s="16" t="str">
        <f>IFERROR(__xludf.DUMMYFUNCTION("""COMPUTED_VALUE"""),"Contagion")</f>
        <v>Contagion</v>
      </c>
      <c r="B297" s="16">
        <f>IFERROR(__xludf.DUMMYFUNCTION("""COMPUTED_VALUE"""),5.0)</f>
        <v>5</v>
      </c>
      <c r="C297" s="16">
        <f>IFERROR(__xludf.DUMMYFUNCTION("""COMPUTED_VALUE"""),100.0)</f>
        <v>100</v>
      </c>
      <c r="D297" s="16"/>
      <c r="E297" s="16" t="str">
        <f>IFERROR(__xludf.DUMMYFUNCTION("""COMPUTED_VALUE"""),"Unleashes a Plague onto the Battlefield Infecting all enemies causing them to take Poison 5000 for 3 rounds")</f>
        <v>Unleashes a Plague onto the Battlefield Infecting all enemies causing them to take Poison 5000 for 3 rounds</v>
      </c>
      <c r="F297" s="16" t="str">
        <f>IFERROR(__xludf.DUMMYFUNCTION("""COMPUTED_VALUE"""),"Fail/Succeed")</f>
        <v>Fail/Succeed</v>
      </c>
      <c r="G297" s="16" t="str">
        <f>IFERROR(__xludf.DUMMYFUNCTION("""COMPUTED_VALUE"""),"All")</f>
        <v>All</v>
      </c>
      <c r="H297" s="16" t="str">
        <f>IFERROR(__xludf.DUMMYFUNCTION("""COMPUTED_VALUE"""),"Voodoo")</f>
        <v>Voodoo</v>
      </c>
    </row>
    <row r="298">
      <c r="A298" s="16" t="str">
        <f>IFERROR(__xludf.DUMMYFUNCTION("""COMPUTED_VALUE"""),"End The Voodoo Contract")</f>
        <v>End The Voodoo Contract</v>
      </c>
      <c r="B298" s="16">
        <f>IFERROR(__xludf.DUMMYFUNCTION("""COMPUTED_VALUE"""),9.0)</f>
        <v>9</v>
      </c>
      <c r="C298" s="16">
        <f>IFERROR(__xludf.DUMMYFUNCTION("""COMPUTED_VALUE"""),500.0)</f>
        <v>500</v>
      </c>
      <c r="D298" s="16"/>
      <c r="E298" s="16" t="str">
        <f>IFERROR(__xludf.DUMMYFUNCTION("""COMPUTED_VALUE"""),"Caster dies and the target dies too.")</f>
        <v>Caster dies and the target dies too.</v>
      </c>
      <c r="F298" s="16" t="str">
        <f>IFERROR(__xludf.DUMMYFUNCTION("""COMPUTED_VALUE"""),"Fail/Succeed")</f>
        <v>Fail/Succeed</v>
      </c>
      <c r="G298" s="16"/>
      <c r="H298" s="16" t="str">
        <f>IFERROR(__xludf.DUMMYFUNCTION("""COMPUTED_VALUE"""),"Voodoo")</f>
        <v>Voodoo</v>
      </c>
    </row>
    <row r="299">
      <c r="A299" s="16" t="str">
        <f>IFERROR(__xludf.DUMMYFUNCTION("""COMPUTED_VALUE"""),"Enrapture")</f>
        <v>Enrapture</v>
      </c>
      <c r="B299" s="16">
        <f>IFERROR(__xludf.DUMMYFUNCTION("""COMPUTED_VALUE"""),7.0)</f>
        <v>7</v>
      </c>
      <c r="C299" s="16">
        <f>IFERROR(__xludf.DUMMYFUNCTION("""COMPUTED_VALUE"""),300.0)</f>
        <v>300</v>
      </c>
      <c r="D299" s="16"/>
      <c r="E299"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9" s="16" t="str">
        <f>IFERROR(__xludf.DUMMYFUNCTION("""COMPUTED_VALUE"""),"Fail/Succeed")</f>
        <v>Fail/Succeed</v>
      </c>
      <c r="G299" s="16"/>
      <c r="H299" s="16" t="str">
        <f>IFERROR(__xludf.DUMMYFUNCTION("""COMPUTED_VALUE"""),"Voodoo")</f>
        <v>Voodoo</v>
      </c>
    </row>
    <row r="300">
      <c r="A300" s="16" t="str">
        <f>IFERROR(__xludf.DUMMYFUNCTION("""COMPUTED_VALUE"""),"Good Fortune")</f>
        <v>Good Fortune</v>
      </c>
      <c r="B300" s="16">
        <f>IFERROR(__xludf.DUMMYFUNCTION("""COMPUTED_VALUE"""),5.0)</f>
        <v>5</v>
      </c>
      <c r="C300" s="16">
        <f>IFERROR(__xludf.DUMMYFUNCTION("""COMPUTED_VALUE"""),50.0)</f>
        <v>50</v>
      </c>
      <c r="D300" s="16"/>
      <c r="E300" s="16" t="str">
        <f>IFERROR(__xludf.DUMMYFUNCTION("""COMPUTED_VALUE"""),"25% chance to gain an extra loot roll. You must activate this effect before the end of battle.")</f>
        <v>25% chance to gain an extra loot roll. You must activate this effect before the end of battle.</v>
      </c>
      <c r="F300" s="16" t="str">
        <f>IFERROR(__xludf.DUMMYFUNCTION("""COMPUTED_VALUE"""),"Will Succeed")</f>
        <v>Will Succeed</v>
      </c>
      <c r="G300" s="16"/>
      <c r="H300" s="16" t="str">
        <f>IFERROR(__xludf.DUMMYFUNCTION("""COMPUTED_VALUE"""),"Voodoo")</f>
        <v>Voodoo</v>
      </c>
    </row>
    <row r="301">
      <c r="A301" s="16" t="str">
        <f>IFERROR(__xludf.DUMMYFUNCTION("""COMPUTED_VALUE"""),"Hex")</f>
        <v>Hex</v>
      </c>
      <c r="B301" s="16">
        <f>IFERROR(__xludf.DUMMYFUNCTION("""COMPUTED_VALUE"""),5.0)</f>
        <v>5</v>
      </c>
      <c r="C301" s="16" t="str">
        <f>IFERROR(__xludf.DUMMYFUNCTION("""COMPUTED_VALUE"""),"X")</f>
        <v>X</v>
      </c>
      <c r="D301" s="16"/>
      <c r="E301" s="16" t="str">
        <f>IFERROR(__xludf.DUMMYFUNCTION("""COMPUTED_VALUE"""),"Deals X*50 Voodoo damage per round for 3 rounds to a single target where X is equal to SP spent.")</f>
        <v>Deals X*50 Voodoo damage per round for 3 rounds to a single target where X is equal to SP spent.</v>
      </c>
      <c r="F301" s="16" t="str">
        <f>IFERROR(__xludf.DUMMYFUNCTION("""COMPUTED_VALUE"""),"Hit/Miss")</f>
        <v>Hit/Miss</v>
      </c>
      <c r="G301" s="16">
        <f>IFERROR(__xludf.DUMMYFUNCTION("""COMPUTED_VALUE"""),1.0)</f>
        <v>1</v>
      </c>
      <c r="H301" s="16" t="str">
        <f>IFERROR(__xludf.DUMMYFUNCTION("""COMPUTED_VALUE"""),"Voodoo")</f>
        <v>Voodoo</v>
      </c>
    </row>
    <row r="302">
      <c r="A302" s="16" t="str">
        <f>IFERROR(__xludf.DUMMYFUNCTION("""COMPUTED_VALUE"""),"Hex With Bad Luck")</f>
        <v>Hex With Bad Luck</v>
      </c>
      <c r="B302" s="16">
        <f>IFERROR(__xludf.DUMMYFUNCTION("""COMPUTED_VALUE"""),1.0)</f>
        <v>1</v>
      </c>
      <c r="C302" s="16">
        <f>IFERROR(__xludf.DUMMYFUNCTION("""COMPUTED_VALUE"""),10.0)</f>
        <v>10</v>
      </c>
      <c r="D302" s="16"/>
      <c r="E302" s="16" t="str">
        <f>IFERROR(__xludf.DUMMYFUNCTION("""COMPUTED_VALUE"""),"Target Halfs their d20 rolls for 3 rounds")</f>
        <v>Target Halfs their d20 rolls for 3 rounds</v>
      </c>
      <c r="F302" s="16" t="str">
        <f>IFERROR(__xludf.DUMMYFUNCTION("""COMPUTED_VALUE"""),"Fail/Succeed")</f>
        <v>Fail/Succeed</v>
      </c>
      <c r="G302" s="16"/>
      <c r="H302" s="16" t="str">
        <f>IFERROR(__xludf.DUMMYFUNCTION("""COMPUTED_VALUE"""),"Voodoo")</f>
        <v>Voodoo</v>
      </c>
    </row>
    <row r="303">
      <c r="A303" s="16" t="str">
        <f>IFERROR(__xludf.DUMMYFUNCTION("""COMPUTED_VALUE"""),"Last Chance")</f>
        <v>Last Chance</v>
      </c>
      <c r="B303" s="16">
        <f>IFERROR(__xludf.DUMMYFUNCTION("""COMPUTED_VALUE"""),5.0)</f>
        <v>5</v>
      </c>
      <c r="C303" s="16">
        <f>IFERROR(__xludf.DUMMYFUNCTION("""COMPUTED_VALUE"""),200.0)</f>
        <v>200</v>
      </c>
      <c r="D303" s="16"/>
      <c r="E303" s="16" t="str">
        <f>IFERROR(__xludf.DUMMYFUNCTION("""COMPUTED_VALUE"""),"1d2 enemies cannot use spells for 3 rounds.")</f>
        <v>1d2 enemies cannot use spells for 3 rounds.</v>
      </c>
      <c r="F303" s="16" t="str">
        <f>IFERROR(__xludf.DUMMYFUNCTION("""COMPUTED_VALUE"""),"Fail or Succeed")</f>
        <v>Fail or Succeed</v>
      </c>
      <c r="G303" s="16" t="str">
        <f>IFERROR(__xludf.DUMMYFUNCTION("""COMPUTED_VALUE"""),"1 or 2")</f>
        <v>1 or 2</v>
      </c>
      <c r="H303" s="16" t="str">
        <f>IFERROR(__xludf.DUMMYFUNCTION("""COMPUTED_VALUE"""),"Voodoo")</f>
        <v>Voodoo</v>
      </c>
    </row>
    <row r="304">
      <c r="A304" s="16" t="str">
        <f>IFERROR(__xludf.DUMMYFUNCTION("""COMPUTED_VALUE"""),"Last Gamble")</f>
        <v>Last Gamble</v>
      </c>
      <c r="B304" s="16">
        <f>IFERROR(__xludf.DUMMYFUNCTION("""COMPUTED_VALUE"""),9.0)</f>
        <v>9</v>
      </c>
      <c r="C304" s="16">
        <f>IFERROR(__xludf.DUMMYFUNCTION("""COMPUTED_VALUE"""),1000.0)</f>
        <v>1000</v>
      </c>
      <c r="D304" s="16"/>
      <c r="E304" s="16" t="str">
        <f>IFERROR(__xludf.DUMMYFUNCTION("""COMPUTED_VALUE"""),"All enemies Cannot use any spells for the rest of the battle.")</f>
        <v>All enemies Cannot use any spells for the rest of the battle.</v>
      </c>
      <c r="F304" s="16" t="str">
        <f>IFERROR(__xludf.DUMMYFUNCTION("""COMPUTED_VALUE"""),"Fail/Succeed")</f>
        <v>Fail/Succeed</v>
      </c>
      <c r="G304" s="16"/>
      <c r="H304" s="16" t="str">
        <f>IFERROR(__xludf.DUMMYFUNCTION("""COMPUTED_VALUE"""),"Voodoo")</f>
        <v>Voodoo</v>
      </c>
    </row>
    <row r="305">
      <c r="A305" s="16" t="str">
        <f>IFERROR(__xludf.DUMMYFUNCTION("""COMPUTED_VALUE"""),"Mass Hex")</f>
        <v>Mass Hex</v>
      </c>
      <c r="B305" s="16">
        <f>IFERROR(__xludf.DUMMYFUNCTION("""COMPUTED_VALUE"""),6.0)</f>
        <v>6</v>
      </c>
      <c r="C305" s="16" t="str">
        <f>IFERROR(__xludf.DUMMYFUNCTION("""COMPUTED_VALUE"""),"X")</f>
        <v>X</v>
      </c>
      <c r="D305" s="16"/>
      <c r="E305" s="16" t="str">
        <f>IFERROR(__xludf.DUMMYFUNCTION("""COMPUTED_VALUE"""),"Deals X*10 Voodoo damage per round to all enemies for 3 rounds where X is equal to SP spent.")</f>
        <v>Deals X*10 Voodoo damage per round to all enemies for 3 rounds where X is equal to SP spent.</v>
      </c>
      <c r="F305" s="16" t="str">
        <f>IFERROR(__xludf.DUMMYFUNCTION("""COMPUTED_VALUE"""),"Cannot Avoid")</f>
        <v>Cannot Avoid</v>
      </c>
      <c r="G305" s="16" t="str">
        <f>IFERROR(__xludf.DUMMYFUNCTION("""COMPUTED_VALUE"""),"All")</f>
        <v>All</v>
      </c>
      <c r="H305" s="16" t="str">
        <f>IFERROR(__xludf.DUMMYFUNCTION("""COMPUTED_VALUE"""),"Voodoo")</f>
        <v>Voodoo</v>
      </c>
    </row>
    <row r="306">
      <c r="A306" s="16" t="str">
        <f>IFERROR(__xludf.DUMMYFUNCTION("""COMPUTED_VALUE"""),"Multi Banishment")</f>
        <v>Multi Banishment</v>
      </c>
      <c r="B306" s="16">
        <f>IFERROR(__xludf.DUMMYFUNCTION("""COMPUTED_VALUE"""),9.0)</f>
        <v>9</v>
      </c>
      <c r="C306" s="16" t="str">
        <f>IFERROR(__xludf.DUMMYFUNCTION("""COMPUTED_VALUE"""),"X*2000")</f>
        <v>X*2000</v>
      </c>
      <c r="D306" s="16"/>
      <c r="E306" s="16" t="str">
        <f>IFERROR(__xludf.DUMMYFUNCTION("""COMPUTED_VALUE"""),"Banish up to 5 targets.")</f>
        <v>Banish up to 5 targets.</v>
      </c>
      <c r="F306" s="16" t="str">
        <f>IFERROR(__xludf.DUMMYFUNCTION("""COMPUTED_VALUE"""),"Fail/succeed")</f>
        <v>Fail/succeed</v>
      </c>
      <c r="G306" s="16"/>
      <c r="H306" s="16" t="str">
        <f>IFERROR(__xludf.DUMMYFUNCTION("""COMPUTED_VALUE"""),"Voodoo")</f>
        <v>Voodoo</v>
      </c>
    </row>
    <row r="307">
      <c r="A307" s="16" t="str">
        <f>IFERROR(__xludf.DUMMYFUNCTION("""COMPUTED_VALUE"""),"Mutagen")</f>
        <v>Mutagen</v>
      </c>
      <c r="B307" s="16">
        <f>IFERROR(__xludf.DUMMYFUNCTION("""COMPUTED_VALUE"""),6.0)</f>
        <v>6</v>
      </c>
      <c r="C307" s="16">
        <f>IFERROR(__xludf.DUMMYFUNCTION("""COMPUTED_VALUE"""),100.0)</f>
        <v>100</v>
      </c>
      <c r="D307" s="16"/>
      <c r="E307"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7" s="16" t="str">
        <f>IFERROR(__xludf.DUMMYFUNCTION("""COMPUTED_VALUE"""),"Will Succeed")</f>
        <v>Will Succeed</v>
      </c>
      <c r="G307" s="16" t="str">
        <f>IFERROR(__xludf.DUMMYFUNCTION("""COMPUTED_VALUE"""),"self")</f>
        <v>self</v>
      </c>
      <c r="H307" s="16" t="str">
        <f>IFERROR(__xludf.DUMMYFUNCTION("""COMPUTED_VALUE"""),"Voodoo")</f>
        <v>Voodoo</v>
      </c>
    </row>
    <row r="308">
      <c r="A308" s="16" t="str">
        <f>IFERROR(__xludf.DUMMYFUNCTION("""COMPUTED_VALUE"""),"Poison Flask")</f>
        <v>Poison Flask</v>
      </c>
      <c r="B308" s="16">
        <f>IFERROR(__xludf.DUMMYFUNCTION("""COMPUTED_VALUE"""),3.0)</f>
        <v>3</v>
      </c>
      <c r="C308" s="16">
        <f>IFERROR(__xludf.DUMMYFUNCTION("""COMPUTED_VALUE"""),50.0)</f>
        <v>50</v>
      </c>
      <c r="D308" s="16"/>
      <c r="E308" s="16" t="str">
        <f>IFERROR(__xludf.DUMMYFUNCTION("""COMPUTED_VALUE"""),"Throw a flask of viscous poison, Shattering it on your enemies and inflicting Poison 3000 for 3 rounds")</f>
        <v>Throw a flask of viscous poison, Shattering it on your enemies and inflicting Poison 3000 for 3 rounds</v>
      </c>
      <c r="F308" s="16" t="str">
        <f>IFERROR(__xludf.DUMMYFUNCTION("""COMPUTED_VALUE"""),"Hit/Miss")</f>
        <v>Hit/Miss</v>
      </c>
      <c r="G308" s="16">
        <f>IFERROR(__xludf.DUMMYFUNCTION("""COMPUTED_VALUE"""),1.0)</f>
        <v>1</v>
      </c>
      <c r="H308" s="16" t="str">
        <f>IFERROR(__xludf.DUMMYFUNCTION("""COMPUTED_VALUE"""),"Voodoo")</f>
        <v>Voodoo</v>
      </c>
    </row>
    <row r="309">
      <c r="A309" s="16" t="str">
        <f>IFERROR(__xludf.DUMMYFUNCTION("""COMPUTED_VALUE"""),"Rejuvenate")</f>
        <v>Rejuvenate</v>
      </c>
      <c r="B309" s="16">
        <f>IFERROR(__xludf.DUMMYFUNCTION("""COMPUTED_VALUE"""),2.0)</f>
        <v>2</v>
      </c>
      <c r="C309" s="16">
        <f>IFERROR(__xludf.DUMMYFUNCTION("""COMPUTED_VALUE"""),20.0)</f>
        <v>20</v>
      </c>
      <c r="D309" s="16"/>
      <c r="E309" s="16" t="str">
        <f>IFERROR(__xludf.DUMMYFUNCTION("""COMPUTED_VALUE"""),"Heal 2000 HP, 50% chance of contracting an Undead enemy. Max 1 Enemy.")</f>
        <v>Heal 2000 HP, 50% chance of contracting an Undead enemy. Max 1 Enemy.</v>
      </c>
      <c r="F309" s="16" t="str">
        <f>IFERROR(__xludf.DUMMYFUNCTION("""COMPUTED_VALUE"""),"Fail/Succeed")</f>
        <v>Fail/Succeed</v>
      </c>
      <c r="G309" s="16"/>
      <c r="H309" s="16" t="str">
        <f>IFERROR(__xludf.DUMMYFUNCTION("""COMPUTED_VALUE"""),"Voodoo")</f>
        <v>Voodoo</v>
      </c>
    </row>
    <row r="310">
      <c r="A310" s="16" t="str">
        <f>IFERROR(__xludf.DUMMYFUNCTION("""COMPUTED_VALUE"""),"Second Chance")</f>
        <v>Second Chance</v>
      </c>
      <c r="B310" s="16">
        <f>IFERROR(__xludf.DUMMYFUNCTION("""COMPUTED_VALUE"""),9.0)</f>
        <v>9</v>
      </c>
      <c r="C310" s="16">
        <f>IFERROR(__xludf.DUMMYFUNCTION("""COMPUTED_VALUE"""),1000.0)</f>
        <v>1000</v>
      </c>
      <c r="D310" s="16"/>
      <c r="E310"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10" s="16" t="str">
        <f>IFERROR(__xludf.DUMMYFUNCTION("""COMPUTED_VALUE"""),"Will Succeed")</f>
        <v>Will Succeed</v>
      </c>
      <c r="G310" s="16"/>
      <c r="H310" s="16" t="str">
        <f>IFERROR(__xludf.DUMMYFUNCTION("""COMPUTED_VALUE"""),"Voodoo")</f>
        <v>Voodoo</v>
      </c>
    </row>
    <row r="311">
      <c r="A311" s="16" t="str">
        <f>IFERROR(__xludf.DUMMYFUNCTION("""COMPUTED_VALUE"""),"Stand in")</f>
        <v>Stand in</v>
      </c>
      <c r="B311" s="16">
        <f>IFERROR(__xludf.DUMMYFUNCTION("""COMPUTED_VALUE"""),9.0)</f>
        <v>9</v>
      </c>
      <c r="C311" s="16">
        <f>IFERROR(__xludf.DUMMYFUNCTION("""COMPUTED_VALUE"""),1000.0)</f>
        <v>1000</v>
      </c>
      <c r="D311" s="16"/>
      <c r="E311"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1" s="16" t="str">
        <f>IFERROR(__xludf.DUMMYFUNCTION("""COMPUTED_VALUE"""),"Fail/Succeed")</f>
        <v>Fail/Succeed</v>
      </c>
      <c r="G311" s="16"/>
      <c r="H311" s="16" t="str">
        <f>IFERROR(__xludf.DUMMYFUNCTION("""COMPUTED_VALUE"""),"Voodoo")</f>
        <v>Voodoo</v>
      </c>
    </row>
    <row r="312">
      <c r="A312" s="16" t="str">
        <f>IFERROR(__xludf.DUMMYFUNCTION("""COMPUTED_VALUE"""),"Tower Of Karma")</f>
        <v>Tower Of Karma</v>
      </c>
      <c r="B312" s="16">
        <f>IFERROR(__xludf.DUMMYFUNCTION("""COMPUTED_VALUE"""),8.0)</f>
        <v>8</v>
      </c>
      <c r="C312" s="16">
        <f>IFERROR(__xludf.DUMMYFUNCTION("""COMPUTED_VALUE"""),400.0)</f>
        <v>400</v>
      </c>
      <c r="D312" s="16"/>
      <c r="E312"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2" s="16" t="str">
        <f>IFERROR(__xludf.DUMMYFUNCTION("""COMPUTED_VALUE"""),"Hit or Miss")</f>
        <v>Hit or Miss</v>
      </c>
      <c r="G312" s="16">
        <f>IFERROR(__xludf.DUMMYFUNCTION("""COMPUTED_VALUE"""),1.0)</f>
        <v>1</v>
      </c>
      <c r="H312" s="16" t="str">
        <f>IFERROR(__xludf.DUMMYFUNCTION("""COMPUTED_VALUE"""),"Voodoo")</f>
        <v>Voodoo</v>
      </c>
    </row>
    <row r="313">
      <c r="A313" s="16" t="str">
        <f>IFERROR(__xludf.DUMMYFUNCTION("""COMPUTED_VALUE"""),"Transfer")</f>
        <v>Transfer</v>
      </c>
      <c r="B313" s="16">
        <f>IFERROR(__xludf.DUMMYFUNCTION("""COMPUTED_VALUE"""),9.0)</f>
        <v>9</v>
      </c>
      <c r="C313" s="16">
        <f>IFERROR(__xludf.DUMMYFUNCTION("""COMPUTED_VALUE"""),500.0)</f>
        <v>500</v>
      </c>
      <c r="D313" s="16"/>
      <c r="E313" s="16" t="str">
        <f>IFERROR(__xludf.DUMMYFUNCTION("""COMPUTED_VALUE"""),"Allows the caster to transfer a curse from one target on to another target. Cannot be used on self.")</f>
        <v>Allows the caster to transfer a curse from one target on to another target. Cannot be used on self.</v>
      </c>
      <c r="F313" s="16" t="str">
        <f>IFERROR(__xludf.DUMMYFUNCTION("""COMPUTED_VALUE"""),"Fail/Succeed")</f>
        <v>Fail/Succeed</v>
      </c>
      <c r="G313" s="16"/>
      <c r="H313" s="16" t="str">
        <f>IFERROR(__xludf.DUMMYFUNCTION("""COMPUTED_VALUE"""),"Voodoo")</f>
        <v>Voodoo</v>
      </c>
    </row>
    <row r="314">
      <c r="A314" s="16" t="str">
        <f>IFERROR(__xludf.DUMMYFUNCTION("""COMPUTED_VALUE"""),"Transform Enemy Curse")</f>
        <v>Transform Enemy Curse</v>
      </c>
      <c r="B314" s="16">
        <f>IFERROR(__xludf.DUMMYFUNCTION("""COMPUTED_VALUE"""),3.0)</f>
        <v>3</v>
      </c>
      <c r="C314" s="16">
        <f>IFERROR(__xludf.DUMMYFUNCTION("""COMPUTED_VALUE"""),30.0)</f>
        <v>30</v>
      </c>
      <c r="D314" s="16"/>
      <c r="E314"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4" s="16" t="str">
        <f>IFERROR(__xludf.DUMMYFUNCTION("""COMPUTED_VALUE"""),"Fail or Succeed")</f>
        <v>Fail or Succeed</v>
      </c>
      <c r="G314" s="16"/>
      <c r="H314" s="16" t="str">
        <f>IFERROR(__xludf.DUMMYFUNCTION("""COMPUTED_VALUE"""),"Voodoo")</f>
        <v>Voodoo</v>
      </c>
    </row>
    <row r="315">
      <c r="A315" s="16" t="str">
        <f>IFERROR(__xludf.DUMMYFUNCTION("""COMPUTED_VALUE"""),"Voodoo Meteor Shower")</f>
        <v>Voodoo Meteor Shower</v>
      </c>
      <c r="B315" s="16">
        <f>IFERROR(__xludf.DUMMYFUNCTION("""COMPUTED_VALUE"""),5.0)</f>
        <v>5</v>
      </c>
      <c r="C315" s="16" t="str">
        <f>IFERROR(__xludf.DUMMYFUNCTION("""COMPUTED_VALUE"""),"X")</f>
        <v>X</v>
      </c>
      <c r="D315" s="16"/>
      <c r="E315" s="16" t="str">
        <f>IFERROR(__xludf.DUMMYFUNCTION("""COMPUTED_VALUE"""),"Deals X*25 Voodoo damage to all enemies where X is equal to SP spent.")</f>
        <v>Deals X*25 Voodoo damage to all enemies where X is equal to SP spent.</v>
      </c>
      <c r="F315" s="16" t="str">
        <f>IFERROR(__xludf.DUMMYFUNCTION("""COMPUTED_VALUE"""),"Cannot Avoid")</f>
        <v>Cannot Avoid</v>
      </c>
      <c r="G315" s="16" t="str">
        <f>IFERROR(__xludf.DUMMYFUNCTION("""COMPUTED_VALUE"""),"All")</f>
        <v>All</v>
      </c>
      <c r="H315" s="16" t="str">
        <f>IFERROR(__xludf.DUMMYFUNCTION("""COMPUTED_VALUE"""),"Voodoo")</f>
        <v>Voodoo</v>
      </c>
    </row>
    <row r="316">
      <c r="A316" s="16" t="str">
        <f>IFERROR(__xludf.DUMMYFUNCTION("""COMPUTED_VALUE"""),"Voodoo Needle")</f>
        <v>Voodoo Needle</v>
      </c>
      <c r="B316" s="16">
        <f>IFERROR(__xludf.DUMMYFUNCTION("""COMPUTED_VALUE"""),1.0)</f>
        <v>1</v>
      </c>
      <c r="C316" s="16" t="str">
        <f>IFERROR(__xludf.DUMMYFUNCTION("""COMPUTED_VALUE"""),"X")</f>
        <v>X</v>
      </c>
      <c r="D316" s="16"/>
      <c r="E316" s="16" t="str">
        <f>IFERROR(__xludf.DUMMYFUNCTION("""COMPUTED_VALUE"""),"Deals X*100 Voodoo damage to a single enemy where X is equal to SP spent.")</f>
        <v>Deals X*100 Voodoo damage to a single enemy where X is equal to SP spent.</v>
      </c>
      <c r="F316" s="16" t="str">
        <f>IFERROR(__xludf.DUMMYFUNCTION("""COMPUTED_VALUE"""),"Hit/Miss")</f>
        <v>Hit/Miss</v>
      </c>
      <c r="G316" s="16">
        <f>IFERROR(__xludf.DUMMYFUNCTION("""COMPUTED_VALUE"""),1.0)</f>
        <v>1</v>
      </c>
      <c r="H316" s="16" t="str">
        <f>IFERROR(__xludf.DUMMYFUNCTION("""COMPUTED_VALUE"""),"Voodoo")</f>
        <v>Voodoo</v>
      </c>
    </row>
    <row r="317">
      <c r="A317" s="16" t="str">
        <f>IFERROR(__xludf.DUMMYFUNCTION("""COMPUTED_VALUE"""),"Voodoo Ritual of Raise The Dead")</f>
        <v>Voodoo Ritual of Raise The Dead</v>
      </c>
      <c r="B317" s="16">
        <f>IFERROR(__xludf.DUMMYFUNCTION("""COMPUTED_VALUE"""),6.0)</f>
        <v>6</v>
      </c>
      <c r="C317" s="16">
        <f>IFERROR(__xludf.DUMMYFUNCTION("""COMPUTED_VALUE"""),60.0)</f>
        <v>60</v>
      </c>
      <c r="D317" s="16"/>
      <c r="E317" s="16" t="str">
        <f>IFERROR(__xludf.DUMMYFUNCTION("""COMPUTED_VALUE"""),"Raise a dead enemy to fight by your side.")</f>
        <v>Raise a dead enemy to fight by your side.</v>
      </c>
      <c r="F317" s="16" t="str">
        <f>IFERROR(__xludf.DUMMYFUNCTION("""COMPUTED_VALUE"""),"Fail/succeed")</f>
        <v>Fail/succeed</v>
      </c>
      <c r="G317" s="16"/>
      <c r="H317" s="16" t="str">
        <f>IFERROR(__xludf.DUMMYFUNCTION("""COMPUTED_VALUE"""),"Voodoo")</f>
        <v>Voodoo</v>
      </c>
    </row>
    <row r="318">
      <c r="A318" s="16" t="str">
        <f>IFERROR(__xludf.DUMMYFUNCTION("""COMPUTED_VALUE"""),"Warcrimes")</f>
        <v>Warcrimes</v>
      </c>
      <c r="B318" s="16">
        <f>IFERROR(__xludf.DUMMYFUNCTION("""COMPUTED_VALUE"""),9.0)</f>
        <v>9</v>
      </c>
      <c r="C318" s="16">
        <f>IFERROR(__xludf.DUMMYFUNCTION("""COMPUTED_VALUE"""),200.0)</f>
        <v>200</v>
      </c>
      <c r="D318" s="16"/>
      <c r="E318"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8" s="16" t="str">
        <f>IFERROR(__xludf.DUMMYFUNCTION("""COMPUTED_VALUE"""),"Will Succeed")</f>
        <v>Will Succeed</v>
      </c>
      <c r="G318" s="16" t="str">
        <f>IFERROR(__xludf.DUMMYFUNCTION("""COMPUTED_VALUE"""),"All")</f>
        <v>All</v>
      </c>
      <c r="H318" s="16" t="str">
        <f>IFERROR(__xludf.DUMMYFUNCTION("""COMPUTED_VALUE"""),"Voodoo")</f>
        <v>Voodoo</v>
      </c>
    </row>
    <row r="319">
      <c r="A319" s="16" t="str">
        <f>IFERROR(__xludf.DUMMYFUNCTION("""COMPUTED_VALUE"""),"Weight Shift")</f>
        <v>Weight Shift</v>
      </c>
      <c r="B319" s="16">
        <f>IFERROR(__xludf.DUMMYFUNCTION("""COMPUTED_VALUE"""),4.0)</f>
        <v>4</v>
      </c>
      <c r="C319" s="16">
        <f>IFERROR(__xludf.DUMMYFUNCTION("""COMPUTED_VALUE"""),40.0)</f>
        <v>40</v>
      </c>
      <c r="D319" s="16"/>
      <c r="E319" s="16" t="str">
        <f>IFERROR(__xludf.DUMMYFUNCTION("""COMPUTED_VALUE"""),"Shift the weight of your enemy for 3 rounds, lowers their evasion by 5.")</f>
        <v>Shift the weight of your enemy for 3 rounds, lowers their evasion by 5.</v>
      </c>
      <c r="F319" s="16" t="str">
        <f>IFERROR(__xludf.DUMMYFUNCTION("""COMPUTED_VALUE"""),"Fail/succeed")</f>
        <v>Fail/succeed</v>
      </c>
      <c r="G319" s="16"/>
      <c r="H319" s="16" t="str">
        <f>IFERROR(__xludf.DUMMYFUNCTION("""COMPUTED_VALUE"""),"Voodoo")</f>
        <v>Voodoo</v>
      </c>
    </row>
    <row r="320">
      <c r="A320" s="16" t="str">
        <f>IFERROR(__xludf.DUMMYFUNCTION("""COMPUTED_VALUE"""),"Ancient Monolith Of Water")</f>
        <v>Ancient Monolith Of Water</v>
      </c>
      <c r="B320" s="16">
        <f>IFERROR(__xludf.DUMMYFUNCTION("""COMPUTED_VALUE"""),9.0)</f>
        <v>9</v>
      </c>
      <c r="C320" s="16">
        <f>IFERROR(__xludf.DUMMYFUNCTION("""COMPUTED_VALUE"""),300.0)</f>
        <v>300</v>
      </c>
      <c r="D320" s="16"/>
      <c r="E320" s="16" t="str">
        <f>IFERROR(__xludf.DUMMYFUNCTION("""COMPUTED_VALUE"""),"X4 additional water damage for caster and allies, + fire immunity to caster only for 3 rounds.")</f>
        <v>X4 additional water damage for caster and allies, + fire immunity to caster only for 3 rounds.</v>
      </c>
      <c r="F320" s="16" t="str">
        <f>IFERROR(__xludf.DUMMYFUNCTION("""COMPUTED_VALUE"""),"Fail/Succeed")</f>
        <v>Fail/Succeed</v>
      </c>
      <c r="G320" s="16"/>
      <c r="H320" s="16" t="str">
        <f>IFERROR(__xludf.DUMMYFUNCTION("""COMPUTED_VALUE"""),"Water")</f>
        <v>Water</v>
      </c>
    </row>
    <row r="321">
      <c r="A321" s="16" t="str">
        <f>IFERROR(__xludf.DUMMYFUNCTION("""COMPUTED_VALUE"""),"Aquafie")</f>
        <v>Aquafie</v>
      </c>
      <c r="B321" s="16">
        <f>IFERROR(__xludf.DUMMYFUNCTION("""COMPUTED_VALUE"""),4.0)</f>
        <v>4</v>
      </c>
      <c r="C321" s="16" t="str">
        <f>IFERROR(__xludf.DUMMYFUNCTION("""COMPUTED_VALUE"""),"X*3")</f>
        <v>X*3</v>
      </c>
      <c r="D321" s="16"/>
      <c r="E321" s="16" t="str">
        <f>IFERROR(__xludf.DUMMYFUNCTION("""COMPUTED_VALUE"""),"Target gains X*4 Water damage and X*4 Water resistance, can’t be used on self.")</f>
        <v>Target gains X*4 Water damage and X*4 Water resistance, can’t be used on self.</v>
      </c>
      <c r="F321" s="16" t="str">
        <f>IFERROR(__xludf.DUMMYFUNCTION("""COMPUTED_VALUE"""),"Will Succeed")</f>
        <v>Will Succeed</v>
      </c>
      <c r="G321" s="16"/>
      <c r="H321" s="16" t="str">
        <f>IFERROR(__xludf.DUMMYFUNCTION("""COMPUTED_VALUE"""),"Water")</f>
        <v>Water</v>
      </c>
    </row>
    <row r="322">
      <c r="A322" s="16" t="str">
        <f>IFERROR(__xludf.DUMMYFUNCTION("""COMPUTED_VALUE"""),"Avalanche")</f>
        <v>Avalanche</v>
      </c>
      <c r="B322" s="16">
        <f>IFERROR(__xludf.DUMMYFUNCTION("""COMPUTED_VALUE"""),8.0)</f>
        <v>8</v>
      </c>
      <c r="C322" s="16" t="str">
        <f>IFERROR(__xludf.DUMMYFUNCTION("""COMPUTED_VALUE"""),"X")</f>
        <v>X</v>
      </c>
      <c r="D322" s="16"/>
      <c r="E322" s="16" t="str">
        <f>IFERROR(__xludf.DUMMYFUNCTION("""COMPUTED_VALUE"""),"X*20 water damage to all enemies, Where X is equal to SP spent, 50% instant death")</f>
        <v>X*20 water damage to all enemies, Where X is equal to SP spent, 50% instant death</v>
      </c>
      <c r="F322" s="16" t="str">
        <f>IFERROR(__xludf.DUMMYFUNCTION("""COMPUTED_VALUE"""),"Not Avoidable")</f>
        <v>Not Avoidable</v>
      </c>
      <c r="G322" s="16"/>
      <c r="H322" s="16" t="str">
        <f>IFERROR(__xludf.DUMMYFUNCTION("""COMPUTED_VALUE"""),"Water")</f>
        <v>Water</v>
      </c>
    </row>
    <row r="323">
      <c r="A323" s="16" t="str">
        <f>IFERROR(__xludf.DUMMYFUNCTION("""COMPUTED_VALUE"""),"Blizzard")</f>
        <v>Blizzard</v>
      </c>
      <c r="B323" s="16">
        <f>IFERROR(__xludf.DUMMYFUNCTION("""COMPUTED_VALUE"""),6.0)</f>
        <v>6</v>
      </c>
      <c r="C323" s="16">
        <f>IFERROR(__xludf.DUMMYFUNCTION("""COMPUTED_VALUE"""),240.0)</f>
        <v>240</v>
      </c>
      <c r="D323" s="16"/>
      <c r="E323" s="16" t="str">
        <f>IFERROR(__xludf.DUMMYFUNCTION("""COMPUTED_VALUE"""),"6000 water damage to all enemies; 50% chance to freeze 1d6 enemies.")</f>
        <v>6000 water damage to all enemies; 50% chance to freeze 1d6 enemies.</v>
      </c>
      <c r="F323" s="16" t="str">
        <f>IFERROR(__xludf.DUMMYFUNCTION("""COMPUTED_VALUE"""),"Cannot Avoid")</f>
        <v>Cannot Avoid</v>
      </c>
      <c r="G323" s="16" t="str">
        <f>IFERROR(__xludf.DUMMYFUNCTION("""COMPUTED_VALUE"""),"1d6")</f>
        <v>1d6</v>
      </c>
      <c r="H323" s="16" t="str">
        <f>IFERROR(__xludf.DUMMYFUNCTION("""COMPUTED_VALUE"""),"Water")</f>
        <v>Water</v>
      </c>
    </row>
    <row r="324">
      <c r="A324" s="16" t="str">
        <f>IFERROR(__xludf.DUMMYFUNCTION("""COMPUTED_VALUE"""),"Crashing Waves")</f>
        <v>Crashing Waves</v>
      </c>
      <c r="B324" s="16">
        <f>IFERROR(__xludf.DUMMYFUNCTION("""COMPUTED_VALUE"""),9.0)</f>
        <v>9</v>
      </c>
      <c r="C324" s="16">
        <f>IFERROR(__xludf.DUMMYFUNCTION("""COMPUTED_VALUE"""),800.0)</f>
        <v>800</v>
      </c>
      <c r="D324" s="16"/>
      <c r="E324" s="16" t="str">
        <f>IFERROR(__xludf.DUMMYFUNCTION("""COMPUTED_VALUE"""),"20,000 water damage to all enemies +75% chance of instant death.")</f>
        <v>20,000 water damage to all enemies +75% chance of instant death.</v>
      </c>
      <c r="F324" s="16" t="str">
        <f>IFERROR(__xludf.DUMMYFUNCTION("""COMPUTED_VALUE"""),"Not Avoidable")</f>
        <v>Not Avoidable</v>
      </c>
      <c r="G324" s="16"/>
      <c r="H324" s="16" t="str">
        <f>IFERROR(__xludf.DUMMYFUNCTION("""COMPUTED_VALUE"""),"Water")</f>
        <v>Water</v>
      </c>
    </row>
    <row r="325">
      <c r="A325" s="16" t="str">
        <f>IFERROR(__xludf.DUMMYFUNCTION("""COMPUTED_VALUE"""),"Deep Freeze")</f>
        <v>Deep Freeze</v>
      </c>
      <c r="B325" s="16">
        <f>IFERROR(__xludf.DUMMYFUNCTION("""COMPUTED_VALUE"""),6.0)</f>
        <v>6</v>
      </c>
      <c r="C325" s="16" t="str">
        <f>IFERROR(__xludf.DUMMYFUNCTION("""COMPUTED_VALUE"""),"X")</f>
        <v>X</v>
      </c>
      <c r="D325" s="16"/>
      <c r="E325" s="16" t="str">
        <f>IFERROR(__xludf.DUMMYFUNCTION("""COMPUTED_VALUE"""),"Deals X*10 Water damage per round to all enemies for 3 rounds where X is equal to SP spent.")</f>
        <v>Deals X*10 Water damage per round to all enemies for 3 rounds where X is equal to SP spent.</v>
      </c>
      <c r="F325" s="16" t="str">
        <f>IFERROR(__xludf.DUMMYFUNCTION("""COMPUTED_VALUE"""),"Cannot Avoid")</f>
        <v>Cannot Avoid</v>
      </c>
      <c r="G325" s="16" t="str">
        <f>IFERROR(__xludf.DUMMYFUNCTION("""COMPUTED_VALUE"""),"All")</f>
        <v>All</v>
      </c>
      <c r="H325" s="16" t="str">
        <f>IFERROR(__xludf.DUMMYFUNCTION("""COMPUTED_VALUE"""),"Water")</f>
        <v>Water</v>
      </c>
    </row>
    <row r="326">
      <c r="A326" s="16" t="str">
        <f>IFERROR(__xludf.DUMMYFUNCTION("""COMPUTED_VALUE"""),"Frostbite")</f>
        <v>Frostbite</v>
      </c>
      <c r="B326" s="16">
        <f>IFERROR(__xludf.DUMMYFUNCTION("""COMPUTED_VALUE"""),5.0)</f>
        <v>5</v>
      </c>
      <c r="C326" s="16" t="str">
        <f>IFERROR(__xludf.DUMMYFUNCTION("""COMPUTED_VALUE"""),"X")</f>
        <v>X</v>
      </c>
      <c r="D326" s="16"/>
      <c r="E326" s="16" t="str">
        <f>IFERROR(__xludf.DUMMYFUNCTION("""COMPUTED_VALUE"""),"Deals X*50 Water damage per round for 3 rounds to a single target where X is equal to SP spent.")</f>
        <v>Deals X*50 Water damage per round for 3 rounds to a single target where X is equal to SP spent.</v>
      </c>
      <c r="F326" s="16" t="str">
        <f>IFERROR(__xludf.DUMMYFUNCTION("""COMPUTED_VALUE"""),"Hit/Miss")</f>
        <v>Hit/Miss</v>
      </c>
      <c r="G326" s="16">
        <f>IFERROR(__xludf.DUMMYFUNCTION("""COMPUTED_VALUE"""),1.0)</f>
        <v>1</v>
      </c>
      <c r="H326" s="16" t="str">
        <f>IFERROR(__xludf.DUMMYFUNCTION("""COMPUTED_VALUE"""),"Water")</f>
        <v>Water</v>
      </c>
    </row>
    <row r="327">
      <c r="A327" s="16" t="str">
        <f>IFERROR(__xludf.DUMMYFUNCTION("""COMPUTED_VALUE"""),"Geyser")</f>
        <v>Geyser</v>
      </c>
      <c r="B327" s="16">
        <f>IFERROR(__xludf.DUMMYFUNCTION("""COMPUTED_VALUE"""),3.0)</f>
        <v>3</v>
      </c>
      <c r="C327" s="16">
        <f>IFERROR(__xludf.DUMMYFUNCTION("""COMPUTED_VALUE"""),30.0)</f>
        <v>30</v>
      </c>
      <c r="D327" s="16"/>
      <c r="E327" s="16" t="str">
        <f>IFERROR(__xludf.DUMMYFUNCTION("""COMPUTED_VALUE"""),"3000 Damage to a single target, 50% chance they lose their next turn.")</f>
        <v>3000 Damage to a single target, 50% chance they lose their next turn.</v>
      </c>
      <c r="F327" s="16" t="str">
        <f>IFERROR(__xludf.DUMMYFUNCTION("""COMPUTED_VALUE"""),"Fail/Succeed")</f>
        <v>Fail/Succeed</v>
      </c>
      <c r="G327" s="16"/>
      <c r="H327" s="16" t="str">
        <f>IFERROR(__xludf.DUMMYFUNCTION("""COMPUTED_VALUE"""),"Water")</f>
        <v>Water</v>
      </c>
    </row>
    <row r="328">
      <c r="A328" s="16" t="str">
        <f>IFERROR(__xludf.DUMMYFUNCTION("""COMPUTED_VALUE"""),"Ice Ball")</f>
        <v>Ice Ball</v>
      </c>
      <c r="B328" s="16">
        <f>IFERROR(__xludf.DUMMYFUNCTION("""COMPUTED_VALUE"""),1.0)</f>
        <v>1</v>
      </c>
      <c r="C328" s="16">
        <f>IFERROR(__xludf.DUMMYFUNCTION("""COMPUTED_VALUE"""),10.0)</f>
        <v>10</v>
      </c>
      <c r="D328" s="16"/>
      <c r="E328" s="16" t="str">
        <f>IFERROR(__xludf.DUMMYFUNCTION("""COMPUTED_VALUE"""),"1000 water damage, 20% chance to freeze target.")</f>
        <v>1000 water damage, 20%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IFERROR(__xludf.DUMMYFUNCTION("""COMPUTED_VALUE"""),"Icicle Spear")</f>
        <v>Icicle Spear</v>
      </c>
      <c r="B329" s="16">
        <f>IFERROR(__xludf.DUMMYFUNCTION("""COMPUTED_VALUE"""),4.0)</f>
        <v>4</v>
      </c>
      <c r="C329" s="16">
        <f>IFERROR(__xludf.DUMMYFUNCTION("""COMPUTED_VALUE"""),40.0)</f>
        <v>40</v>
      </c>
      <c r="D329" s="16"/>
      <c r="E329" s="16" t="str">
        <f>IFERROR(__xludf.DUMMYFUNCTION("""COMPUTED_VALUE"""),"4000 water damage, 50% chance to freeze target.")</f>
        <v>4000 water damage, 50% chance to freeze target.</v>
      </c>
      <c r="F329" s="16" t="str">
        <f>IFERROR(__xludf.DUMMYFUNCTION("""COMPUTED_VALUE"""),"Hit/Miss")</f>
        <v>Hit/Miss</v>
      </c>
      <c r="G329" s="16">
        <f>IFERROR(__xludf.DUMMYFUNCTION("""COMPUTED_VALUE"""),1.0)</f>
        <v>1</v>
      </c>
      <c r="H329" s="16" t="str">
        <f>IFERROR(__xludf.DUMMYFUNCTION("""COMPUTED_VALUE"""),"Water")</f>
        <v>Water</v>
      </c>
    </row>
    <row r="330">
      <c r="A330" s="16" t="str">
        <f>IFERROR(__xludf.DUMMYFUNCTION("""COMPUTED_VALUE"""),"Quench")</f>
        <v>Quench</v>
      </c>
      <c r="B330" s="16">
        <f>IFERROR(__xludf.DUMMYFUNCTION("""COMPUTED_VALUE"""),2.0)</f>
        <v>2</v>
      </c>
      <c r="C330" s="16">
        <f>IFERROR(__xludf.DUMMYFUNCTION("""COMPUTED_VALUE"""),20.0)</f>
        <v>20</v>
      </c>
      <c r="D330" s="16"/>
      <c r="E330" s="16" t="str">
        <f>IFERROR(__xludf.DUMMYFUNCTION("""COMPUTED_VALUE"""),"Negate the next incoming fire spell.")</f>
        <v>Negate the next incoming fire spell.</v>
      </c>
      <c r="F330" s="16" t="str">
        <f>IFERROR(__xludf.DUMMYFUNCTION("""COMPUTED_VALUE"""),"Fail/Succeed")</f>
        <v>Fail/Succeed</v>
      </c>
      <c r="G330" s="16"/>
      <c r="H330" s="16" t="str">
        <f>IFERROR(__xludf.DUMMYFUNCTION("""COMPUTED_VALUE"""),"Water")</f>
        <v>Water</v>
      </c>
    </row>
    <row r="331">
      <c r="A331" s="16" t="str">
        <f>IFERROR(__xludf.DUMMYFUNCTION("""COMPUTED_VALUE"""),"Torrential Downpour")</f>
        <v>Torrential Downpour</v>
      </c>
      <c r="B331" s="16">
        <f>IFERROR(__xludf.DUMMYFUNCTION("""COMPUTED_VALUE"""),5.0)</f>
        <v>5</v>
      </c>
      <c r="C331" s="16" t="str">
        <f>IFERROR(__xludf.DUMMYFUNCTION("""COMPUTED_VALUE"""),"X")</f>
        <v>X</v>
      </c>
      <c r="D331" s="16"/>
      <c r="E331" s="16" t="str">
        <f>IFERROR(__xludf.DUMMYFUNCTION("""COMPUTED_VALUE"""),"Deals X*25 Water undefendable damage to all enemies where X is equal to SP spent.")</f>
        <v>Deals X*25 Water undefendable damage to all enemies where X is equal to SP spent.</v>
      </c>
      <c r="F331" s="16" t="str">
        <f>IFERROR(__xludf.DUMMYFUNCTION("""COMPUTED_VALUE"""),"Cannot Avoid")</f>
        <v>Cannot Avoid</v>
      </c>
      <c r="G331" s="16" t="str">
        <f>IFERROR(__xludf.DUMMYFUNCTION("""COMPUTED_VALUE"""),"All")</f>
        <v>All</v>
      </c>
      <c r="H331" s="16" t="str">
        <f>IFERROR(__xludf.DUMMYFUNCTION("""COMPUTED_VALUE"""),"Water")</f>
        <v>Water</v>
      </c>
    </row>
    <row r="332">
      <c r="A332" s="16" t="str">
        <f>IFERROR(__xludf.DUMMYFUNCTION("""COMPUTED_VALUE"""),"Tower Of Atlantis")</f>
        <v>Tower Of Atlantis</v>
      </c>
      <c r="B332" s="16">
        <f>IFERROR(__xludf.DUMMYFUNCTION("""COMPUTED_VALUE"""),9.0)</f>
        <v>9</v>
      </c>
      <c r="C332" s="16">
        <f>IFERROR(__xludf.DUMMYFUNCTION("""COMPUTED_VALUE"""),500.0)</f>
        <v>500</v>
      </c>
      <c r="D332" s="16"/>
      <c r="E33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2" s="16" t="str">
        <f>IFERROR(__xludf.DUMMYFUNCTION("""COMPUTED_VALUE"""),"Hit/Miss")</f>
        <v>Hit/Miss</v>
      </c>
      <c r="G332" s="16">
        <f>IFERROR(__xludf.DUMMYFUNCTION("""COMPUTED_VALUE"""),1.0)</f>
        <v>1</v>
      </c>
      <c r="H332" s="16" t="str">
        <f>IFERROR(__xludf.DUMMYFUNCTION("""COMPUTED_VALUE"""),"Water")</f>
        <v>Water</v>
      </c>
    </row>
    <row r="333">
      <c r="A333" s="16" t="str">
        <f>IFERROR(__xludf.DUMMYFUNCTION("""COMPUTED_VALUE"""),"Tsunami")</f>
        <v>Tsunami</v>
      </c>
      <c r="B333" s="16">
        <f>IFERROR(__xludf.DUMMYFUNCTION("""COMPUTED_VALUE"""),9.0)</f>
        <v>9</v>
      </c>
      <c r="C333" s="16" t="str">
        <f>IFERROR(__xludf.DUMMYFUNCTION("""COMPUTED_VALUE"""),"d20*40")</f>
        <v>d20*40</v>
      </c>
      <c r="D333" s="16"/>
      <c r="E333"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3" s="16" t="str">
        <f>IFERROR(__xludf.DUMMYFUNCTION("""COMPUTED_VALUE"""),"Cannot Avoid")</f>
        <v>Cannot Avoid</v>
      </c>
      <c r="G333" s="16" t="str">
        <f>IFERROR(__xludf.DUMMYFUNCTION("""COMPUTED_VALUE"""),"All")</f>
        <v>All</v>
      </c>
      <c r="H333" s="16" t="str">
        <f>IFERROR(__xludf.DUMMYFUNCTION("""COMPUTED_VALUE"""),"Water")</f>
        <v>Water</v>
      </c>
    </row>
    <row r="334">
      <c r="A334" s="16" t="str">
        <f>IFERROR(__xludf.DUMMYFUNCTION("""COMPUTED_VALUE"""),"Water Beam")</f>
        <v>Water Beam</v>
      </c>
      <c r="B334" s="16">
        <f>IFERROR(__xludf.DUMMYFUNCTION("""COMPUTED_VALUE"""),1.0)</f>
        <v>1</v>
      </c>
      <c r="C334" s="16" t="str">
        <f>IFERROR(__xludf.DUMMYFUNCTION("""COMPUTED_VALUE"""),"X")</f>
        <v>X</v>
      </c>
      <c r="D334" s="16"/>
      <c r="E334" s="16" t="str">
        <f>IFERROR(__xludf.DUMMYFUNCTION("""COMPUTED_VALUE"""),"Deals X*100 Water undefendable damage to a single enemy where X is equal to SP spent.")</f>
        <v>Deals X*100 Water undefendable damage to a single enemy where X is equal to SP spent.</v>
      </c>
      <c r="F334" s="16" t="str">
        <f>IFERROR(__xludf.DUMMYFUNCTION("""COMPUTED_VALUE"""),"Hit/Miss")</f>
        <v>Hit/Miss</v>
      </c>
      <c r="G334" s="16">
        <f>IFERROR(__xludf.DUMMYFUNCTION("""COMPUTED_VALUE"""),1.0)</f>
        <v>1</v>
      </c>
      <c r="H334" s="16" t="str">
        <f>IFERROR(__xludf.DUMMYFUNCTION("""COMPUTED_VALUE"""),"Water")</f>
        <v>Water</v>
      </c>
    </row>
    <row r="335">
      <c r="A335" s="16" t="str">
        <f>IFERROR(__xludf.DUMMYFUNCTION("""COMPUTED_VALUE"""),"Waters of Tranquility")</f>
        <v>Waters of Tranquility</v>
      </c>
      <c r="B335" s="16">
        <f>IFERROR(__xludf.DUMMYFUNCTION("""COMPUTED_VALUE"""),7.0)</f>
        <v>7</v>
      </c>
      <c r="C335" s="16" t="str">
        <f>IFERROR(__xludf.DUMMYFUNCTION("""COMPUTED_VALUE"""),"X")</f>
        <v>X</v>
      </c>
      <c r="D335" s="16"/>
      <c r="E335" s="16" t="str">
        <f>IFERROR(__xludf.DUMMYFUNCTION("""COMPUTED_VALUE"""),"Negate X*4 water damage.")</f>
        <v>Negate X*4 water damage.</v>
      </c>
      <c r="F335" s="16" t="str">
        <f>IFERROR(__xludf.DUMMYFUNCTION("""COMPUTED_VALUE"""),"Fail/Succeed")</f>
        <v>Fail/Succeed</v>
      </c>
      <c r="G335" s="16"/>
      <c r="H335" s="16" t="str">
        <f>IFERROR(__xludf.DUMMYFUNCTION("""COMPUTED_VALUE"""),"Water")</f>
        <v>Water</v>
      </c>
    </row>
    <row r="336">
      <c r="A336" s="16" t="str">
        <f>IFERROR(__xludf.DUMMYFUNCTION("""COMPUTED_VALUE"""),"Cease-Fire")</f>
        <v>Cease-Fire</v>
      </c>
      <c r="B336" s="16">
        <f>IFERROR(__xludf.DUMMYFUNCTION("""COMPUTED_VALUE"""),9.0)</f>
        <v>9</v>
      </c>
      <c r="C336" s="16" t="str">
        <f>IFERROR(__xludf.DUMMYFUNCTION("""COMPUTED_VALUE"""),"X*1000")</f>
        <v>X*1000</v>
      </c>
      <c r="D336" s="16"/>
      <c r="E336"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6" s="16" t="str">
        <f>IFERROR(__xludf.DUMMYFUNCTION("""COMPUTED_VALUE"""),"Fail/Succeed")</f>
        <v>Fail/Succeed</v>
      </c>
      <c r="G336" s="16"/>
      <c r="H336" s="16" t="str">
        <f>IFERROR(__xludf.DUMMYFUNCTION("""COMPUTED_VALUE"""),"Zen")</f>
        <v>Zen</v>
      </c>
    </row>
    <row r="337">
      <c r="A337" s="16" t="str">
        <f>IFERROR(__xludf.DUMMYFUNCTION("""COMPUTED_VALUE"""),"Elemental Fists")</f>
        <v>Elemental Fists</v>
      </c>
      <c r="B337" s="16">
        <f>IFERROR(__xludf.DUMMYFUNCTION("""COMPUTED_VALUE"""),1.0)</f>
        <v>1</v>
      </c>
      <c r="C337" s="16">
        <f>IFERROR(__xludf.DUMMYFUNCTION("""COMPUTED_VALUE"""),0.0)</f>
        <v>0</v>
      </c>
      <c r="D337" s="16"/>
      <c r="E337"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7" s="16" t="str">
        <f>IFERROR(__xludf.DUMMYFUNCTION("""COMPUTED_VALUE"""),"Natural/Hit or Miss")</f>
        <v>Natural/Hit or Miss</v>
      </c>
      <c r="G337" s="16">
        <f>IFERROR(__xludf.DUMMYFUNCTION("""COMPUTED_VALUE"""),1.0)</f>
        <v>1</v>
      </c>
      <c r="H337" s="16" t="str">
        <f>IFERROR(__xludf.DUMMYFUNCTION("""COMPUTED_VALUE"""),"Zen")</f>
        <v>Zen</v>
      </c>
    </row>
    <row r="338">
      <c r="A338" s="16" t="str">
        <f>IFERROR(__xludf.DUMMYFUNCTION("""COMPUTED_VALUE"""),"Evade")</f>
        <v>Evade</v>
      </c>
      <c r="B338" s="16">
        <f>IFERROR(__xludf.DUMMYFUNCTION("""COMPUTED_VALUE"""),1.0)</f>
        <v>1</v>
      </c>
      <c r="C338" s="16">
        <f>IFERROR(__xludf.DUMMYFUNCTION("""COMPUTED_VALUE"""),10.0)</f>
        <v>10</v>
      </c>
      <c r="D338" s="16"/>
      <c r="E338" s="16" t="str">
        <f>IFERROR(__xludf.DUMMYFUNCTION("""COMPUTED_VALUE"""),"+5 to evasion until the end of battle. Can only be used once.")</f>
        <v>+5 to evasion until the end of battle. Can only be used once.</v>
      </c>
      <c r="F338" s="16" t="str">
        <f>IFERROR(__xludf.DUMMYFUNCTION("""COMPUTED_VALUE"""),"Fail/Succeed")</f>
        <v>Fail/Succeed</v>
      </c>
      <c r="G338" s="16"/>
      <c r="H338" s="16" t="str">
        <f>IFERROR(__xludf.DUMMYFUNCTION("""COMPUTED_VALUE"""),"Zen")</f>
        <v>Zen</v>
      </c>
    </row>
    <row r="339">
      <c r="A339" s="16" t="str">
        <f>IFERROR(__xludf.DUMMYFUNCTION("""COMPUTED_VALUE"""),"FlashStep")</f>
        <v>FlashStep</v>
      </c>
      <c r="B339" s="16">
        <f>IFERROR(__xludf.DUMMYFUNCTION("""COMPUTED_VALUE"""),9.0)</f>
        <v>9</v>
      </c>
      <c r="C339" s="16">
        <f>IFERROR(__xludf.DUMMYFUNCTION("""COMPUTED_VALUE"""),600.0)</f>
        <v>600</v>
      </c>
      <c r="D339" s="16"/>
      <c r="E339"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9" s="16" t="str">
        <f>IFERROR(__xludf.DUMMYFUNCTION("""COMPUTED_VALUE"""),"Hit/Miss")</f>
        <v>Hit/Miss</v>
      </c>
      <c r="G339" s="16">
        <f>IFERROR(__xludf.DUMMYFUNCTION("""COMPUTED_VALUE"""),1.0)</f>
        <v>1</v>
      </c>
      <c r="H339" s="16" t="str">
        <f>IFERROR(__xludf.DUMMYFUNCTION("""COMPUTED_VALUE"""),"Zen")</f>
        <v>Zen</v>
      </c>
    </row>
    <row r="340">
      <c r="A340" s="16" t="str">
        <f>IFERROR(__xludf.DUMMYFUNCTION("""COMPUTED_VALUE"""),"Focus")</f>
        <v>Focus</v>
      </c>
      <c r="B340" s="16">
        <f>IFERROR(__xludf.DUMMYFUNCTION("""COMPUTED_VALUE"""),1.0)</f>
        <v>1</v>
      </c>
      <c r="C340" s="16">
        <f>IFERROR(__xludf.DUMMYFUNCTION("""COMPUTED_VALUE"""),10.0)</f>
        <v>10</v>
      </c>
      <c r="D340" s="16"/>
      <c r="E340" s="16" t="str">
        <f>IFERROR(__xludf.DUMMYFUNCTION("""COMPUTED_VALUE"""),"Gain X2 attack, accuracy, and defense till the end of battle.")</f>
        <v>Gain X2 attack, accuracy, and defense till the end of battle.</v>
      </c>
      <c r="F340" s="16" t="str">
        <f>IFERROR(__xludf.DUMMYFUNCTION("""COMPUTED_VALUE"""),"Fail/succeed")</f>
        <v>Fail/succeed</v>
      </c>
      <c r="G340" s="16"/>
      <c r="H340" s="16" t="str">
        <f>IFERROR(__xludf.DUMMYFUNCTION("""COMPUTED_VALUE"""),"Zen")</f>
        <v>Zen</v>
      </c>
    </row>
    <row r="341">
      <c r="A341" s="16" t="str">
        <f>IFERROR(__xludf.DUMMYFUNCTION("""COMPUTED_VALUE"""),"Foresight")</f>
        <v>Foresight</v>
      </c>
      <c r="B341" s="16">
        <f>IFERROR(__xludf.DUMMYFUNCTION("""COMPUTED_VALUE"""),8.0)</f>
        <v>8</v>
      </c>
      <c r="C341" s="16">
        <f>IFERROR(__xludf.DUMMYFUNCTION("""COMPUTED_VALUE"""),1000.0)</f>
        <v>1000</v>
      </c>
      <c r="D341" s="16"/>
      <c r="E341" s="16" t="str">
        <f>IFERROR(__xludf.DUMMYFUNCTION("""COMPUTED_VALUE"""),"Immune to instant death and evade all attacks the rest of the round. (Cannot avoid attacks are still avoided)")</f>
        <v>Immune to instant death and evade all attacks the rest of the round. (Cannot avoid attacks are still avoided)</v>
      </c>
      <c r="F341" s="16" t="str">
        <f>IFERROR(__xludf.DUMMYFUNCTION("""COMPUTED_VALUE"""),"Fail/Succeed")</f>
        <v>Fail/Succeed</v>
      </c>
      <c r="G341" s="16"/>
      <c r="H341" s="16" t="str">
        <f>IFERROR(__xludf.DUMMYFUNCTION("""COMPUTED_VALUE"""),"Zen")</f>
        <v>Zen</v>
      </c>
    </row>
    <row r="342">
      <c r="A342" s="16" t="str">
        <f>IFERROR(__xludf.DUMMYFUNCTION("""COMPUTED_VALUE"""),"Ki Blast")</f>
        <v>Ki Blast</v>
      </c>
      <c r="B342" s="16">
        <f>IFERROR(__xludf.DUMMYFUNCTION("""COMPUTED_VALUE"""),9.0)</f>
        <v>9</v>
      </c>
      <c r="C342" s="16">
        <f>IFERROR(__xludf.DUMMYFUNCTION("""COMPUTED_VALUE"""),7200.0)</f>
        <v>7200</v>
      </c>
      <c r="D342" s="16"/>
      <c r="E342" s="16" t="str">
        <f>IFERROR(__xludf.DUMMYFUNCTION("""COMPUTED_VALUE"""),"36,000 storm, earth, water, fire, and nature damage.")</f>
        <v>36,000 storm, earth, water, fire, and nature damage.</v>
      </c>
      <c r="F342" s="16" t="str">
        <f>IFERROR(__xludf.DUMMYFUNCTION("""COMPUTED_VALUE"""),"Cannot Avoid")</f>
        <v>Cannot Avoid</v>
      </c>
      <c r="G342" s="16"/>
      <c r="H342" s="16" t="str">
        <f>IFERROR(__xludf.DUMMYFUNCTION("""COMPUTED_VALUE"""),"Zen")</f>
        <v>Zen</v>
      </c>
    </row>
    <row r="343">
      <c r="A343" s="16" t="str">
        <f>IFERROR(__xludf.DUMMYFUNCTION("""COMPUTED_VALUE"""),"Ki Charge")</f>
        <v>Ki Charge</v>
      </c>
      <c r="B343" s="16">
        <f>IFERROR(__xludf.DUMMYFUNCTION("""COMPUTED_VALUE"""),7.0)</f>
        <v>7</v>
      </c>
      <c r="C343" s="16">
        <f>IFERROR(__xludf.DUMMYFUNCTION("""COMPUTED_VALUE"""),400.0)</f>
        <v>400</v>
      </c>
      <c r="D343" s="16"/>
      <c r="E343" s="16" t="str">
        <f>IFERROR(__xludf.DUMMYFUNCTION("""COMPUTED_VALUE"""),"X2 additional storm, earth, water, fire, and nature damage.")</f>
        <v>X2 additional storm, earth, water, fire, and nature damage.</v>
      </c>
      <c r="F343" s="16" t="str">
        <f>IFERROR(__xludf.DUMMYFUNCTION("""COMPUTED_VALUE"""),"Will Suceed.")</f>
        <v>Will Suceed.</v>
      </c>
      <c r="G343" s="16" t="str">
        <f>IFERROR(__xludf.DUMMYFUNCTION("""COMPUTED_VALUE"""),"Self")</f>
        <v>Self</v>
      </c>
      <c r="H343" s="16" t="str">
        <f>IFERROR(__xludf.DUMMYFUNCTION("""COMPUTED_VALUE"""),"Zen")</f>
        <v>Zen</v>
      </c>
    </row>
    <row r="344">
      <c r="A344" s="16" t="str">
        <f>IFERROR(__xludf.DUMMYFUNCTION("""COMPUTED_VALUE"""),"Max Evade")</f>
        <v>Max Evade</v>
      </c>
      <c r="B344" s="16">
        <f>IFERROR(__xludf.DUMMYFUNCTION("""COMPUTED_VALUE"""),6.0)</f>
        <v>6</v>
      </c>
      <c r="C344" s="16">
        <f>IFERROR(__xludf.DUMMYFUNCTION("""COMPUTED_VALUE"""),60.0)</f>
        <v>60</v>
      </c>
      <c r="D344" s="16"/>
      <c r="E344" s="16" t="str">
        <f>IFERROR(__xludf.DUMMYFUNCTION("""COMPUTED_VALUE"""),"+5 evasion and mobility for 3 rounds.")</f>
        <v>+5 evasion and mobility for 3 rounds.</v>
      </c>
      <c r="F344" s="16" t="str">
        <f>IFERROR(__xludf.DUMMYFUNCTION("""COMPUTED_VALUE"""),"Will Succeed")</f>
        <v>Will Succeed</v>
      </c>
      <c r="G344" s="16"/>
      <c r="H344" s="16" t="str">
        <f>IFERROR(__xludf.DUMMYFUNCTION("""COMPUTED_VALUE"""),"Zen")</f>
        <v>Zen</v>
      </c>
    </row>
    <row r="345">
      <c r="A345" s="16" t="str">
        <f>IFERROR(__xludf.DUMMYFUNCTION("""COMPUTED_VALUE"""),"Max Focus")</f>
        <v>Max Focus</v>
      </c>
      <c r="B345" s="16">
        <f>IFERROR(__xludf.DUMMYFUNCTION("""COMPUTED_VALUE"""),9.0)</f>
        <v>9</v>
      </c>
      <c r="C345" s="16" t="str">
        <f>IFERROR(__xludf.DUMMYFUNCTION("""COMPUTED_VALUE"""),"X*2000")</f>
        <v>X*2000</v>
      </c>
      <c r="D345" s="16"/>
      <c r="E345" s="16" t="str">
        <f>IFERROR(__xludf.DUMMYFUNCTION("""COMPUTED_VALUE"""),"You gain X Evasion, Mobility, and Intimidation where X is equal to the SP you pay (Max 5) for 3 rounds.")</f>
        <v>You gain X Evasion, Mobility, and Intimidation where X is equal to the SP you pay (Max 5) for 3 rounds.</v>
      </c>
      <c r="F345" s="16" t="str">
        <f>IFERROR(__xludf.DUMMYFUNCTION("""COMPUTED_VALUE"""),"Fail/Succeed")</f>
        <v>Fail/Succeed</v>
      </c>
      <c r="G345" s="16" t="str">
        <f>IFERROR(__xludf.DUMMYFUNCTION("""COMPUTED_VALUE"""),"Self")</f>
        <v>Self</v>
      </c>
      <c r="H345" s="16" t="str">
        <f>IFERROR(__xludf.DUMMYFUNCTION("""COMPUTED_VALUE"""),"Zen")</f>
        <v>Zen</v>
      </c>
    </row>
    <row r="346">
      <c r="A346" s="16" t="str">
        <f>IFERROR(__xludf.DUMMYFUNCTION("""COMPUTED_VALUE"""),"Mind Press")</f>
        <v>Mind Press</v>
      </c>
      <c r="B346" s="16">
        <f>IFERROR(__xludf.DUMMYFUNCTION("""COMPUTED_VALUE"""),9.0)</f>
        <v>9</v>
      </c>
      <c r="C346" s="16">
        <f>IFERROR(__xludf.DUMMYFUNCTION("""COMPUTED_VALUE"""),12000.0)</f>
        <v>12000</v>
      </c>
      <c r="D346" s="16"/>
      <c r="E346" s="16" t="str">
        <f>IFERROR(__xludf.DUMMYFUNCTION("""COMPUTED_VALUE"""),"30,000 damage to all enemies. Cannot resist or be immune to.")</f>
        <v>30,000 damage to all enemies. Cannot resist or be immune to.</v>
      </c>
      <c r="F346" s="16" t="str">
        <f>IFERROR(__xludf.DUMMYFUNCTION("""COMPUTED_VALUE"""),"Will Succeed")</f>
        <v>Will Succeed</v>
      </c>
      <c r="G346" s="16"/>
      <c r="H346" s="16" t="str">
        <f>IFERROR(__xludf.DUMMYFUNCTION("""COMPUTED_VALUE"""),"Zen")</f>
        <v>Zen</v>
      </c>
    </row>
    <row r="347">
      <c r="A347" s="16" t="str">
        <f>IFERROR(__xludf.DUMMYFUNCTION("""COMPUTED_VALUE"""),"Monks Blessing")</f>
        <v>Monks Blessing</v>
      </c>
      <c r="B347" s="16">
        <f>IFERROR(__xludf.DUMMYFUNCTION("""COMPUTED_VALUE"""),6.0)</f>
        <v>6</v>
      </c>
      <c r="C347" s="16">
        <f>IFERROR(__xludf.DUMMYFUNCTION("""COMPUTED_VALUE"""),60.0)</f>
        <v>60</v>
      </c>
      <c r="D347" s="16"/>
      <c r="E347"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7" s="16" t="str">
        <f>IFERROR(__xludf.DUMMYFUNCTION("""COMPUTED_VALUE"""),"Fail/Succeed")</f>
        <v>Fail/Succeed</v>
      </c>
      <c r="G347" s="16"/>
      <c r="H347" s="16" t="str">
        <f>IFERROR(__xludf.DUMMYFUNCTION("""COMPUTED_VALUE"""),"Zen")</f>
        <v>Zen</v>
      </c>
    </row>
    <row r="348">
      <c r="A348" s="16" t="str">
        <f>IFERROR(__xludf.DUMMYFUNCTION("""COMPUTED_VALUE"""),"The All Knowing Eye")</f>
        <v>The All Knowing Eye</v>
      </c>
      <c r="B348" s="16">
        <f>IFERROR(__xludf.DUMMYFUNCTION("""COMPUTED_VALUE"""),8.0)</f>
        <v>8</v>
      </c>
      <c r="C348" s="16">
        <f>IFERROR(__xludf.DUMMYFUNCTION("""COMPUTED_VALUE"""),500.0)</f>
        <v>500</v>
      </c>
      <c r="D348" s="16"/>
      <c r="E348" s="16" t="str">
        <f>IFERROR(__xludf.DUMMYFUNCTION("""COMPUTED_VALUE"""),"Increase your roll number by 5 for 3 rounds and take no damage from the next incoming attack. (Battle Only)")</f>
        <v>Increase your roll number by 5 for 3 rounds and take no damage from the next incoming attack. (Battle Only)</v>
      </c>
      <c r="F348" s="16" t="str">
        <f>IFERROR(__xludf.DUMMYFUNCTION("""COMPUTED_VALUE"""),"Fail/Succeed")</f>
        <v>Fail/Succeed</v>
      </c>
      <c r="G348" s="16"/>
      <c r="H348" s="16" t="str">
        <f>IFERROR(__xludf.DUMMYFUNCTION("""COMPUTED_VALUE"""),"Zen")</f>
        <v>Zen</v>
      </c>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224</v>
      </c>
      <c r="Y1" s="97" t="s">
        <v>225</v>
      </c>
      <c r="Z1" s="97" t="s">
        <v>27</v>
      </c>
      <c r="AA1" s="97" t="s">
        <v>226</v>
      </c>
    </row>
    <row r="2">
      <c r="A2" s="75" t="s">
        <v>227</v>
      </c>
      <c r="B2" s="14" t="s">
        <v>228</v>
      </c>
      <c r="C2" s="38" t="s">
        <v>25</v>
      </c>
      <c r="D2" s="38" t="s">
        <v>26</v>
      </c>
      <c r="E2" s="38" t="s">
        <v>224</v>
      </c>
      <c r="F2" s="38" t="s">
        <v>225</v>
      </c>
      <c r="G2" s="38" t="s">
        <v>27</v>
      </c>
      <c r="H2" s="38" t="s">
        <v>226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229</v>
      </c>
    </row>
    <row r="8">
      <c r="A8" s="14" t="str">
        <f>"Storage: "&amp;counta(B10:B1070)&amp;"/"&amp;B8</f>
        <v>Storage: 5/70</v>
      </c>
      <c r="B8" s="14">
        <v>70.0</v>
      </c>
    </row>
    <row r="9">
      <c r="A9" s="38" t="s">
        <v>230</v>
      </c>
      <c r="B9" s="38" t="s">
        <v>24</v>
      </c>
      <c r="C9" s="38" t="s">
        <v>25</v>
      </c>
      <c r="D9" s="38" t="s">
        <v>26</v>
      </c>
      <c r="E9" s="38" t="s">
        <v>224</v>
      </c>
      <c r="F9" s="38" t="s">
        <v>225</v>
      </c>
      <c r="G9" s="38" t="s">
        <v>27</v>
      </c>
      <c r="H9" s="38" t="s">
        <v>226</v>
      </c>
      <c r="I9" s="38" t="s">
        <v>231</v>
      </c>
    </row>
    <row r="10">
      <c r="A10" s="63">
        <v>100.0</v>
      </c>
      <c r="B10" s="14" t="s">
        <v>232</v>
      </c>
      <c r="C10" s="14" t="s">
        <v>233</v>
      </c>
      <c r="D10" s="14" t="s">
        <v>234</v>
      </c>
      <c r="E10" s="37"/>
      <c r="F10" s="37"/>
      <c r="G10" s="37"/>
      <c r="H10" s="99"/>
      <c r="I10" s="37"/>
    </row>
    <row r="11">
      <c r="A11" s="63">
        <v>100.0</v>
      </c>
      <c r="B11" s="65" t="s">
        <v>235</v>
      </c>
      <c r="C11" s="100" t="s">
        <v>236</v>
      </c>
      <c r="D11" s="37"/>
      <c r="E11" s="37"/>
      <c r="F11" s="37"/>
      <c r="G11" s="37"/>
      <c r="H11" s="99"/>
      <c r="I11" s="37"/>
    </row>
    <row r="12">
      <c r="A12" s="63">
        <v>1.0</v>
      </c>
      <c r="B12" s="14" t="s">
        <v>228</v>
      </c>
      <c r="D12" s="14" t="s">
        <v>237</v>
      </c>
      <c r="E12" s="14" t="s">
        <v>42</v>
      </c>
      <c r="F12" s="97">
        <v>40.0</v>
      </c>
      <c r="G12" s="14" t="s">
        <v>238</v>
      </c>
      <c r="H12" s="101">
        <v>60000.0</v>
      </c>
      <c r="I12" s="37"/>
    </row>
    <row r="13">
      <c r="A13" s="102">
        <v>1.0</v>
      </c>
      <c r="B13" s="65" t="s">
        <v>41</v>
      </c>
      <c r="C13" s="37"/>
      <c r="D13" s="65" t="s">
        <v>239</v>
      </c>
      <c r="E13" s="65" t="s">
        <v>42</v>
      </c>
      <c r="F13" s="102">
        <v>200.0</v>
      </c>
      <c r="G13" s="65" t="s">
        <v>240</v>
      </c>
      <c r="H13" s="102">
        <v>1900000.0</v>
      </c>
      <c r="I13" s="37"/>
    </row>
    <row r="14">
      <c r="A14" s="103">
        <v>1.0</v>
      </c>
      <c r="B14" s="100" t="s">
        <v>41</v>
      </c>
      <c r="C14" s="37"/>
      <c r="D14" s="65" t="s">
        <v>239</v>
      </c>
      <c r="E14" s="65" t="s">
        <v>42</v>
      </c>
      <c r="F14" s="103">
        <v>200.0</v>
      </c>
      <c r="G14" s="65" t="s">
        <v>241</v>
      </c>
      <c r="H14" s="104">
        <v>1900000.0</v>
      </c>
      <c r="I14" s="64"/>
    </row>
    <row r="15">
      <c r="A15" s="64"/>
      <c r="B15" s="105"/>
      <c r="C15" s="37"/>
      <c r="D15" s="37"/>
      <c r="E15" s="37"/>
      <c r="F15" s="64"/>
      <c r="G15" s="37"/>
      <c r="H15" s="106"/>
      <c r="I15" s="64"/>
    </row>
    <row r="16">
      <c r="A16" s="64"/>
      <c r="B16" s="105"/>
      <c r="C16" s="37"/>
      <c r="D16" s="37"/>
      <c r="E16" s="37"/>
      <c r="F16" s="64"/>
      <c r="G16" s="37"/>
      <c r="H16" s="106"/>
      <c r="I16" s="37"/>
    </row>
    <row r="17">
      <c r="A17" s="64"/>
      <c r="B17" s="105"/>
      <c r="C17" s="37"/>
      <c r="D17" s="37"/>
      <c r="E17" s="37"/>
      <c r="F17" s="64"/>
      <c r="G17" s="37"/>
      <c r="H17" s="106"/>
      <c r="I17" s="37"/>
    </row>
    <row r="18">
      <c r="A18" s="64"/>
      <c r="B18" s="105"/>
      <c r="C18" s="37"/>
      <c r="D18" s="37"/>
      <c r="E18" s="37"/>
      <c r="F18" s="64"/>
      <c r="G18" s="37"/>
      <c r="H18" s="106"/>
      <c r="I18" s="37"/>
    </row>
    <row r="19">
      <c r="A19" s="64"/>
      <c r="B19" s="105"/>
      <c r="C19" s="37"/>
      <c r="D19" s="37"/>
      <c r="E19" s="37"/>
      <c r="F19" s="64"/>
      <c r="G19" s="37"/>
      <c r="H19" s="106"/>
      <c r="I19" s="37"/>
    </row>
    <row r="20">
      <c r="A20" s="64"/>
      <c r="B20" s="37"/>
      <c r="C20" s="37"/>
      <c r="D20" s="37"/>
      <c r="E20" s="37"/>
      <c r="F20" s="37"/>
      <c r="G20" s="37"/>
      <c r="H20" s="99"/>
      <c r="I20" s="37"/>
    </row>
    <row r="21">
      <c r="A21" s="64"/>
      <c r="B21" s="37"/>
      <c r="C21" s="105"/>
      <c r="D21" s="37"/>
      <c r="E21" s="37"/>
      <c r="F21" s="37"/>
      <c r="G21" s="37"/>
      <c r="H21" s="99"/>
      <c r="I21" s="37"/>
    </row>
    <row r="22">
      <c r="A22" s="64"/>
      <c r="B22" s="105"/>
      <c r="C22" s="37"/>
      <c r="D22" s="37"/>
      <c r="E22" s="37"/>
      <c r="F22" s="64"/>
      <c r="G22" s="105"/>
      <c r="H22" s="99"/>
      <c r="I22" s="37"/>
    </row>
    <row r="23">
      <c r="A23" s="64"/>
      <c r="B23" s="37"/>
      <c r="C23" s="37"/>
      <c r="D23" s="37"/>
      <c r="E23" s="37"/>
      <c r="F23" s="37"/>
      <c r="G23" s="37"/>
      <c r="H23" s="99"/>
      <c r="I23" s="37"/>
    </row>
    <row r="24">
      <c r="A24" s="64"/>
      <c r="B24" s="37"/>
      <c r="C24" s="105"/>
      <c r="D24" s="37"/>
      <c r="E24" s="37"/>
      <c r="F24" s="37"/>
      <c r="G24" s="37"/>
      <c r="H24" s="99"/>
      <c r="I24" s="37"/>
    </row>
    <row r="25">
      <c r="A25" s="64"/>
      <c r="B25" s="37"/>
      <c r="C25" s="105"/>
      <c r="D25" s="37"/>
      <c r="E25" s="37"/>
      <c r="F25" s="37"/>
      <c r="G25" s="37"/>
      <c r="H25" s="99"/>
      <c r="I25" s="37"/>
    </row>
    <row r="26">
      <c r="A26" s="64"/>
      <c r="B26" s="105"/>
      <c r="C26" s="37"/>
      <c r="D26" s="37"/>
      <c r="E26" s="37"/>
      <c r="F26" s="37"/>
      <c r="G26" s="37"/>
      <c r="H26" s="99"/>
      <c r="I26" s="37"/>
    </row>
    <row r="27">
      <c r="A27" s="64"/>
      <c r="B27" s="37"/>
      <c r="C27" s="37"/>
      <c r="D27" s="37"/>
      <c r="E27" s="37"/>
      <c r="F27" s="37"/>
      <c r="G27" s="37"/>
      <c r="H27" s="99"/>
      <c r="I27" s="37"/>
    </row>
    <row r="28">
      <c r="A28" s="64"/>
      <c r="B28" s="37"/>
      <c r="C28" s="105"/>
      <c r="D28" s="37"/>
      <c r="E28" s="37"/>
      <c r="F28" s="37"/>
      <c r="G28" s="37"/>
      <c r="H28" s="99"/>
      <c r="I28" s="37"/>
    </row>
    <row r="29">
      <c r="A29" s="64"/>
      <c r="B29" s="37"/>
      <c r="C29" s="105"/>
      <c r="D29" s="37"/>
      <c r="E29" s="37"/>
      <c r="F29" s="37"/>
      <c r="G29" s="37"/>
      <c r="H29" s="99"/>
      <c r="I29" s="37"/>
    </row>
    <row r="30">
      <c r="A30" s="64"/>
      <c r="B30" s="105"/>
      <c r="C30" s="37"/>
      <c r="D30" s="37"/>
      <c r="E30" s="37"/>
      <c r="F30" s="37"/>
      <c r="G30" s="37"/>
      <c r="H30" s="99"/>
      <c r="I30" s="37"/>
    </row>
    <row r="31">
      <c r="A31" s="64"/>
      <c r="B31" s="37"/>
      <c r="C31" s="37"/>
      <c r="D31" s="37"/>
      <c r="E31" s="37"/>
      <c r="F31" s="37"/>
      <c r="G31" s="37"/>
      <c r="H31" s="99"/>
      <c r="I31" s="37"/>
    </row>
    <row r="32">
      <c r="A32" s="64"/>
      <c r="B32" s="37"/>
      <c r="C32" s="105"/>
      <c r="D32" s="37"/>
      <c r="E32" s="37"/>
      <c r="F32" s="37"/>
      <c r="G32" s="37"/>
      <c r="H32" s="99"/>
      <c r="I32" s="37"/>
    </row>
    <row r="33">
      <c r="A33" s="64"/>
      <c r="B33" s="37"/>
      <c r="C33" s="105"/>
      <c r="D33" s="37"/>
      <c r="E33" s="37"/>
      <c r="F33" s="37"/>
      <c r="G33" s="37"/>
      <c r="H33" s="99"/>
      <c r="I33" s="37"/>
    </row>
    <row r="34">
      <c r="A34" s="64"/>
      <c r="B34" s="37"/>
      <c r="C34" s="105"/>
      <c r="D34" s="37"/>
      <c r="E34" s="37"/>
      <c r="F34" s="37"/>
      <c r="G34" s="37"/>
      <c r="H34" s="99"/>
      <c r="I34" s="37"/>
    </row>
    <row r="35">
      <c r="A35" s="64"/>
      <c r="B35" s="37"/>
      <c r="C35" s="105"/>
      <c r="D35" s="37"/>
      <c r="E35" s="37"/>
      <c r="F35" s="37"/>
      <c r="G35" s="37"/>
      <c r="H35" s="99"/>
      <c r="I35" s="37"/>
    </row>
    <row r="36">
      <c r="A36" s="64"/>
      <c r="B36" s="37"/>
      <c r="C36" s="37"/>
      <c r="D36" s="37"/>
      <c r="E36" s="37"/>
      <c r="F36" s="37"/>
      <c r="G36" s="37"/>
      <c r="H36" s="99"/>
      <c r="I36" s="37"/>
    </row>
    <row r="37">
      <c r="A37" s="64"/>
      <c r="B37" s="105"/>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5"/>
      <c r="C41" s="37"/>
      <c r="D41" s="37"/>
      <c r="E41" s="37"/>
      <c r="F41" s="64"/>
      <c r="G41" s="37"/>
      <c r="H41" s="106"/>
      <c r="I41" s="37"/>
    </row>
    <row r="42">
      <c r="A42" s="64"/>
      <c r="B42" s="37"/>
      <c r="C42" s="37"/>
      <c r="D42" s="37"/>
      <c r="E42" s="37"/>
      <c r="F42" s="64"/>
      <c r="G42" s="37"/>
      <c r="H42" s="106"/>
      <c r="I42" s="37"/>
    </row>
    <row r="43">
      <c r="A43" s="64"/>
      <c r="B43" s="105"/>
      <c r="C43" s="37"/>
      <c r="D43" s="37"/>
      <c r="E43" s="37"/>
      <c r="F43" s="37"/>
      <c r="G43" s="37"/>
      <c r="H43" s="99"/>
      <c r="I43" s="37"/>
    </row>
    <row r="44">
      <c r="A44" s="64"/>
      <c r="B44" s="105"/>
      <c r="C44" s="37"/>
      <c r="D44" s="37"/>
      <c r="E44" s="37"/>
      <c r="F44" s="37"/>
      <c r="G44" s="37"/>
      <c r="H44" s="99"/>
      <c r="I44" s="37"/>
    </row>
    <row r="45">
      <c r="A45" s="64"/>
      <c r="B45" s="105"/>
      <c r="C45" s="37"/>
      <c r="D45" s="37"/>
      <c r="E45" s="37"/>
      <c r="F45" s="37"/>
      <c r="G45" s="37"/>
      <c r="H45" s="99"/>
      <c r="I45" s="37"/>
    </row>
    <row r="46">
      <c r="A46" s="64"/>
      <c r="B46" s="105"/>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5"/>
      <c r="D52" s="37"/>
      <c r="E52" s="37"/>
      <c r="F52" s="37"/>
      <c r="G52" s="37"/>
      <c r="H52" s="99"/>
      <c r="I52" s="37"/>
    </row>
    <row r="53">
      <c r="A53" s="64"/>
      <c r="B53" s="37"/>
      <c r="C53" s="37"/>
      <c r="D53" s="37"/>
      <c r="E53" s="37"/>
      <c r="F53" s="37"/>
      <c r="G53" s="37"/>
      <c r="H53" s="99"/>
      <c r="I53" s="37"/>
    </row>
    <row r="54">
      <c r="A54" s="64"/>
      <c r="B54" s="37"/>
      <c r="C54" s="105"/>
      <c r="D54" s="37"/>
      <c r="E54" s="37"/>
      <c r="F54" s="37"/>
      <c r="G54" s="37"/>
      <c r="H54" s="99"/>
      <c r="I54" s="37"/>
    </row>
    <row r="55">
      <c r="A55" s="64"/>
      <c r="B55" s="37"/>
      <c r="C55" s="105"/>
      <c r="D55" s="37"/>
      <c r="E55" s="37"/>
      <c r="F55" s="37"/>
      <c r="G55" s="37"/>
      <c r="H55" s="99"/>
      <c r="I55" s="37"/>
    </row>
    <row r="56">
      <c r="A56" s="64"/>
      <c r="B56" s="37"/>
      <c r="C56" s="105"/>
      <c r="D56" s="37"/>
      <c r="E56" s="37"/>
      <c r="F56" s="37"/>
      <c r="G56" s="37"/>
      <c r="H56" s="99"/>
      <c r="I56" s="37"/>
    </row>
    <row r="57">
      <c r="A57" s="64"/>
      <c r="B57" s="37"/>
      <c r="C57" s="105"/>
      <c r="D57" s="37"/>
      <c r="E57" s="37"/>
      <c r="F57" s="37"/>
      <c r="G57" s="37"/>
      <c r="H57" s="99"/>
      <c r="I57" s="37"/>
    </row>
    <row r="58">
      <c r="A58" s="64"/>
      <c r="B58" s="37"/>
      <c r="C58" s="105"/>
      <c r="D58" s="37"/>
      <c r="E58" s="37"/>
      <c r="F58" s="37"/>
      <c r="G58" s="37"/>
      <c r="H58" s="99"/>
      <c r="I58" s="37"/>
    </row>
    <row r="59">
      <c r="A59" s="64"/>
      <c r="B59" s="37"/>
      <c r="C59" s="105"/>
      <c r="D59" s="37"/>
      <c r="E59" s="37"/>
      <c r="F59" s="37"/>
      <c r="G59" s="37"/>
      <c r="H59" s="99"/>
      <c r="I59" s="37"/>
    </row>
    <row r="60">
      <c r="A60" s="64"/>
      <c r="B60" s="37"/>
      <c r="C60" s="105"/>
      <c r="D60" s="37"/>
      <c r="E60" s="37"/>
      <c r="F60" s="37"/>
      <c r="G60" s="37"/>
      <c r="H60" s="99"/>
      <c r="I60" s="37"/>
    </row>
    <row r="61">
      <c r="A61" s="64"/>
      <c r="B61" s="37"/>
      <c r="C61" s="105"/>
      <c r="D61" s="37"/>
      <c r="E61" s="37"/>
      <c r="F61" s="37"/>
      <c r="G61" s="37"/>
      <c r="H61" s="99"/>
      <c r="I61" s="37"/>
    </row>
    <row r="62">
      <c r="A62" s="64"/>
      <c r="B62" s="37"/>
      <c r="C62" s="105"/>
      <c r="D62" s="37"/>
      <c r="E62" s="37"/>
      <c r="F62" s="37"/>
      <c r="G62" s="37"/>
      <c r="H62" s="99"/>
      <c r="I62" s="37"/>
    </row>
    <row r="63">
      <c r="A63" s="64"/>
      <c r="B63" s="37"/>
      <c r="C63" s="105"/>
      <c r="D63" s="37"/>
      <c r="E63" s="37"/>
      <c r="F63" s="37"/>
      <c r="G63" s="37"/>
      <c r="H63" s="99"/>
      <c r="I63" s="37"/>
    </row>
    <row r="64">
      <c r="A64" s="64"/>
      <c r="B64" s="37"/>
      <c r="C64" s="105"/>
      <c r="D64" s="37"/>
      <c r="E64" s="37"/>
      <c r="F64" s="37"/>
      <c r="G64" s="37"/>
      <c r="H64" s="99"/>
      <c r="I64" s="37"/>
    </row>
    <row r="65">
      <c r="A65" s="64"/>
      <c r="B65" s="37"/>
      <c r="C65" s="105"/>
      <c r="D65" s="37"/>
      <c r="E65" s="37"/>
      <c r="F65" s="37"/>
      <c r="G65" s="37"/>
      <c r="H65" s="99"/>
      <c r="I65" s="37"/>
    </row>
    <row r="66">
      <c r="A66" s="64"/>
      <c r="B66" s="37"/>
      <c r="C66" s="105"/>
      <c r="D66" s="37"/>
      <c r="E66" s="37"/>
      <c r="F66" s="37"/>
      <c r="G66" s="37"/>
      <c r="H66" s="99"/>
      <c r="I66" s="37"/>
    </row>
    <row r="67">
      <c r="A67" s="64"/>
      <c r="B67" s="37"/>
      <c r="C67" s="105"/>
      <c r="D67" s="37"/>
      <c r="E67" s="37"/>
      <c r="F67" s="37"/>
      <c r="G67" s="37"/>
      <c r="H67" s="99"/>
      <c r="I67" s="37"/>
    </row>
    <row r="68">
      <c r="A68" s="64"/>
      <c r="B68" s="37"/>
      <c r="C68" s="105"/>
      <c r="D68" s="37"/>
      <c r="E68" s="37"/>
      <c r="F68" s="37"/>
      <c r="G68" s="37"/>
      <c r="H68" s="99"/>
      <c r="I68" s="37"/>
    </row>
    <row r="69">
      <c r="A69" s="64"/>
      <c r="B69" s="37"/>
      <c r="C69" s="105"/>
      <c r="D69" s="37"/>
      <c r="E69" s="37"/>
      <c r="F69" s="37"/>
      <c r="G69" s="37"/>
      <c r="H69" s="99"/>
      <c r="I69" s="37"/>
    </row>
    <row r="70">
      <c r="A70" s="64"/>
      <c r="B70" s="37"/>
      <c r="C70" s="105"/>
      <c r="D70" s="37"/>
      <c r="E70" s="37"/>
      <c r="F70" s="37"/>
      <c r="G70" s="37"/>
      <c r="H70" s="99"/>
      <c r="I70" s="37"/>
    </row>
    <row r="71">
      <c r="A71" s="64"/>
      <c r="B71" s="37"/>
      <c r="C71" s="105"/>
      <c r="D71" s="37"/>
      <c r="E71" s="37"/>
      <c r="F71" s="37"/>
      <c r="G71" s="37"/>
      <c r="H71" s="99"/>
      <c r="I71" s="37"/>
    </row>
    <row r="72">
      <c r="A72" s="64"/>
      <c r="B72" s="37"/>
      <c r="C72" s="105"/>
      <c r="D72" s="37"/>
      <c r="E72" s="37"/>
      <c r="F72" s="37"/>
      <c r="G72" s="37"/>
      <c r="H72" s="99"/>
      <c r="I72" s="37"/>
    </row>
    <row r="73">
      <c r="A73" s="64"/>
      <c r="B73" s="37"/>
      <c r="C73" s="105"/>
      <c r="D73" s="37"/>
      <c r="E73" s="37"/>
      <c r="F73" s="37"/>
      <c r="G73" s="37"/>
      <c r="H73" s="99"/>
      <c r="I73" s="37"/>
    </row>
    <row r="74">
      <c r="A74" s="64"/>
      <c r="B74" s="37"/>
      <c r="C74" s="105"/>
      <c r="D74" s="37"/>
      <c r="E74" s="37"/>
      <c r="F74" s="37"/>
      <c r="G74" s="37"/>
      <c r="H74" s="99"/>
      <c r="I74" s="37"/>
    </row>
    <row r="75">
      <c r="A75" s="64"/>
      <c r="B75" s="37"/>
      <c r="C75" s="105"/>
      <c r="D75" s="37"/>
      <c r="E75" s="37"/>
      <c r="F75" s="37"/>
      <c r="G75" s="37"/>
      <c r="H75" s="99"/>
      <c r="I75" s="37"/>
    </row>
    <row r="76">
      <c r="A76" s="64"/>
      <c r="B76" s="37"/>
      <c r="C76" s="105"/>
      <c r="D76" s="37"/>
      <c r="E76" s="37"/>
      <c r="F76" s="37"/>
      <c r="G76" s="37"/>
      <c r="H76" s="99"/>
      <c r="I76" s="37"/>
    </row>
    <row r="77">
      <c r="A77" s="64"/>
      <c r="B77" s="37"/>
      <c r="C77" s="105"/>
      <c r="D77" s="37"/>
      <c r="E77" s="37"/>
      <c r="F77" s="37"/>
      <c r="G77" s="37"/>
      <c r="H77" s="99"/>
      <c r="I77" s="37"/>
    </row>
    <row r="78">
      <c r="A78" s="64"/>
      <c r="B78" s="37"/>
      <c r="C78" s="105"/>
      <c r="D78" s="37"/>
      <c r="E78" s="37"/>
      <c r="F78" s="37"/>
      <c r="G78" s="37"/>
      <c r="H78" s="99"/>
      <c r="I78" s="37"/>
    </row>
    <row r="79">
      <c r="A79" s="64"/>
      <c r="B79" s="37"/>
      <c r="C79" s="105"/>
      <c r="D79" s="37"/>
      <c r="E79" s="37"/>
      <c r="F79" s="37"/>
      <c r="G79" s="37"/>
      <c r="H79" s="99"/>
      <c r="I79" s="37"/>
    </row>
    <row r="80">
      <c r="A80" s="64"/>
      <c r="B80" s="37"/>
      <c r="C80" s="105"/>
      <c r="D80" s="37"/>
      <c r="E80" s="37"/>
      <c r="F80" s="37"/>
      <c r="G80" s="37"/>
      <c r="H80" s="99"/>
      <c r="I80" s="37"/>
    </row>
    <row r="81">
      <c r="A81" s="64"/>
      <c r="B81" s="37"/>
      <c r="C81" s="105"/>
      <c r="D81" s="37"/>
      <c r="E81" s="37"/>
      <c r="F81" s="37"/>
      <c r="G81" s="37"/>
      <c r="H81" s="99"/>
      <c r="I81" s="37"/>
    </row>
    <row r="82">
      <c r="A82" s="64"/>
      <c r="B82" s="37"/>
      <c r="C82" s="105"/>
      <c r="D82" s="37"/>
      <c r="E82" s="37"/>
      <c r="F82" s="37"/>
      <c r="G82" s="37"/>
      <c r="H82" s="99"/>
      <c r="I82" s="37"/>
    </row>
    <row r="83">
      <c r="A83" s="64"/>
      <c r="B83" s="37"/>
      <c r="C83" s="105"/>
      <c r="D83" s="37"/>
      <c r="E83" s="37"/>
      <c r="F83" s="37"/>
      <c r="G83" s="37"/>
      <c r="H83" s="99"/>
      <c r="I83" s="37"/>
    </row>
    <row r="84">
      <c r="A84" s="64"/>
      <c r="B84" s="37"/>
      <c r="C84" s="105"/>
      <c r="D84" s="37"/>
      <c r="E84" s="37"/>
      <c r="F84" s="37"/>
      <c r="G84" s="37"/>
      <c r="H84" s="99"/>
      <c r="I84" s="37"/>
    </row>
    <row r="85">
      <c r="A85" s="64"/>
      <c r="B85" s="37"/>
      <c r="C85" s="105"/>
      <c r="D85" s="37"/>
      <c r="E85" s="37"/>
      <c r="F85" s="37"/>
      <c r="G85" s="37"/>
      <c r="H85" s="99"/>
      <c r="I85" s="37"/>
    </row>
    <row r="86">
      <c r="A86" s="64"/>
      <c r="B86" s="105"/>
      <c r="C86" s="37"/>
      <c r="D86" s="37"/>
      <c r="E86" s="37"/>
      <c r="F86" s="64"/>
      <c r="G86" s="37"/>
      <c r="H86" s="106"/>
      <c r="I86" s="37"/>
    </row>
    <row r="87">
      <c r="A87" s="64"/>
      <c r="B87" s="105"/>
      <c r="C87" s="37"/>
      <c r="D87" s="37"/>
      <c r="E87" s="37"/>
      <c r="F87" s="64"/>
      <c r="G87" s="37"/>
      <c r="H87" s="106"/>
      <c r="I87" s="37"/>
    </row>
    <row r="88">
      <c r="A88" s="64"/>
      <c r="B88" s="37"/>
      <c r="C88" s="37"/>
      <c r="D88" s="37"/>
      <c r="E88" s="37"/>
      <c r="F88" s="37"/>
      <c r="G88" s="37"/>
      <c r="H88" s="99"/>
      <c r="I88" s="37"/>
    </row>
    <row r="89">
      <c r="A89" s="64"/>
      <c r="B89" s="37"/>
      <c r="C89" s="105"/>
      <c r="D89" s="37"/>
      <c r="E89" s="37"/>
      <c r="F89" s="37"/>
      <c r="G89" s="37"/>
      <c r="H89" s="106"/>
      <c r="I89" s="37"/>
    </row>
    <row r="90">
      <c r="A90" s="64"/>
      <c r="B90" s="37"/>
      <c r="C90" s="37"/>
      <c r="D90" s="37"/>
      <c r="E90" s="37"/>
      <c r="F90" s="37"/>
      <c r="G90" s="37"/>
      <c r="H90" s="99"/>
      <c r="I90" s="37"/>
    </row>
    <row r="91">
      <c r="A91" s="64"/>
      <c r="B91" s="37"/>
      <c r="C91" s="37"/>
      <c r="D91" s="37"/>
      <c r="E91" s="37"/>
      <c r="F91" s="37"/>
      <c r="G91" s="37"/>
      <c r="H91" s="99"/>
      <c r="I91" s="37"/>
    </row>
    <row r="92">
      <c r="A92" s="64"/>
      <c r="B92" s="105"/>
      <c r="C92" s="37"/>
      <c r="D92" s="37"/>
      <c r="E92" s="37"/>
      <c r="F92" s="64"/>
      <c r="G92" s="37"/>
      <c r="H92" s="106"/>
      <c r="I92" s="37"/>
    </row>
    <row r="93">
      <c r="A93" s="64"/>
      <c r="B93" s="37"/>
      <c r="C93" s="37"/>
      <c r="D93" s="37"/>
      <c r="E93" s="37"/>
      <c r="F93" s="64"/>
      <c r="G93" s="37"/>
      <c r="H93" s="106"/>
      <c r="I93" s="37"/>
    </row>
    <row r="94">
      <c r="A94" s="64"/>
      <c r="B94" s="105"/>
      <c r="C94" s="37"/>
      <c r="D94" s="37"/>
      <c r="E94" s="37"/>
      <c r="F94" s="64"/>
      <c r="G94" s="37"/>
      <c r="H94" s="106"/>
      <c r="I94" s="37"/>
    </row>
    <row r="95">
      <c r="A95" s="64"/>
      <c r="B95" s="37"/>
      <c r="C95" s="105"/>
      <c r="D95" s="37"/>
      <c r="E95" s="37"/>
      <c r="F95" s="37"/>
      <c r="G95" s="37"/>
      <c r="H95" s="99"/>
      <c r="I95" s="37"/>
    </row>
    <row r="96">
      <c r="A96" s="64"/>
      <c r="B96" s="37"/>
      <c r="C96" s="105"/>
      <c r="D96" s="37"/>
      <c r="E96" s="37"/>
      <c r="F96" s="37"/>
      <c r="G96" s="37"/>
      <c r="H96" s="99"/>
      <c r="I96" s="37"/>
    </row>
    <row r="97">
      <c r="A97" s="64"/>
      <c r="B97" s="37"/>
      <c r="C97" s="105"/>
      <c r="D97" s="37"/>
      <c r="E97" s="37"/>
      <c r="F97" s="37"/>
      <c r="G97" s="37"/>
      <c r="H97" s="99"/>
      <c r="I97" s="37"/>
    </row>
    <row r="98">
      <c r="A98" s="64"/>
      <c r="B98" s="37"/>
      <c r="C98" s="105"/>
      <c r="D98" s="37"/>
      <c r="E98" s="37"/>
      <c r="F98" s="37"/>
      <c r="G98" s="37"/>
      <c r="H98" s="99"/>
      <c r="I98" s="37"/>
    </row>
    <row r="99">
      <c r="A99" s="64"/>
      <c r="B99" s="37"/>
      <c r="C99" s="105"/>
      <c r="D99" s="37"/>
      <c r="E99" s="37"/>
      <c r="F99" s="37"/>
      <c r="G99" s="37"/>
      <c r="H99" s="99"/>
      <c r="I99" s="37"/>
    </row>
    <row r="100">
      <c r="A100" s="64"/>
      <c r="B100" s="37"/>
      <c r="C100" s="37"/>
      <c r="D100" s="37"/>
      <c r="E100" s="37"/>
      <c r="F100" s="37"/>
      <c r="G100" s="37"/>
      <c r="H100" s="99"/>
      <c r="I100" s="37"/>
    </row>
    <row r="101">
      <c r="A101" s="64"/>
      <c r="B101" s="105"/>
      <c r="C101" s="37"/>
      <c r="D101" s="37"/>
      <c r="E101" s="37"/>
      <c r="F101" s="64"/>
      <c r="G101" s="37"/>
      <c r="H101" s="106"/>
      <c r="I101" s="37"/>
    </row>
    <row r="102">
      <c r="A102" s="64"/>
      <c r="B102" s="37"/>
      <c r="C102" s="105"/>
      <c r="D102" s="37"/>
      <c r="E102" s="37"/>
      <c r="F102" s="37"/>
      <c r="G102" s="37"/>
      <c r="H102" s="99"/>
      <c r="I102" s="37"/>
    </row>
    <row r="103">
      <c r="A103" s="64"/>
      <c r="B103" s="37"/>
      <c r="C103" s="105"/>
      <c r="D103" s="37"/>
      <c r="E103" s="37"/>
      <c r="F103" s="37"/>
      <c r="G103" s="37"/>
      <c r="H103" s="99"/>
      <c r="I103" s="37"/>
    </row>
    <row r="104">
      <c r="A104" s="64"/>
      <c r="B104" s="37"/>
      <c r="C104" s="105"/>
      <c r="D104" s="37"/>
      <c r="E104" s="37"/>
      <c r="F104" s="37"/>
      <c r="G104" s="37"/>
      <c r="H104" s="99"/>
      <c r="I104" s="37"/>
    </row>
    <row r="105">
      <c r="A105" s="64"/>
      <c r="B105" s="105"/>
      <c r="C105" s="37"/>
      <c r="D105" s="37"/>
      <c r="E105" s="37"/>
      <c r="F105" s="64"/>
      <c r="G105" s="37"/>
      <c r="H105" s="106"/>
      <c r="I105" s="37"/>
    </row>
    <row r="106">
      <c r="A106" s="64"/>
      <c r="B106" s="37"/>
      <c r="C106" s="105"/>
      <c r="D106" s="37"/>
      <c r="E106" s="37"/>
      <c r="F106" s="37"/>
      <c r="G106" s="37"/>
      <c r="H106" s="99"/>
      <c r="I106" s="37"/>
    </row>
    <row r="107">
      <c r="A107" s="64"/>
      <c r="B107" s="105"/>
      <c r="C107" s="37"/>
      <c r="D107" s="37"/>
      <c r="E107" s="37"/>
      <c r="F107" s="64"/>
      <c r="G107" s="37"/>
      <c r="H107" s="106"/>
      <c r="I107" s="37"/>
    </row>
    <row r="108">
      <c r="A108" s="64"/>
      <c r="B108" s="105"/>
      <c r="C108" s="37"/>
      <c r="D108" s="37"/>
      <c r="E108" s="37"/>
      <c r="F108" s="37"/>
      <c r="G108" s="37"/>
      <c r="H108" s="99"/>
      <c r="I108" s="37"/>
    </row>
    <row r="109">
      <c r="A109" s="64"/>
      <c r="B109" s="105"/>
      <c r="C109" s="37"/>
      <c r="D109" s="37"/>
      <c r="E109" s="37"/>
      <c r="F109" s="64"/>
      <c r="G109" s="37"/>
      <c r="H109" s="106"/>
      <c r="I109" s="37"/>
    </row>
    <row r="110">
      <c r="A110" s="64"/>
      <c r="B110" s="105"/>
      <c r="C110" s="37"/>
      <c r="D110" s="37"/>
      <c r="E110" s="37"/>
      <c r="F110" s="64"/>
      <c r="G110" s="37"/>
      <c r="H110" s="106"/>
      <c r="I110" s="37"/>
    </row>
    <row r="111">
      <c r="A111" s="64"/>
      <c r="B111" s="105"/>
      <c r="C111" s="37"/>
      <c r="D111" s="37"/>
      <c r="E111" s="37"/>
      <c r="F111" s="64"/>
      <c r="G111" s="37"/>
      <c r="H111" s="106"/>
      <c r="I111" s="37"/>
    </row>
    <row r="112">
      <c r="A112" s="37"/>
      <c r="B112" s="37"/>
      <c r="C112" s="105"/>
      <c r="D112" s="37"/>
      <c r="E112" s="37"/>
      <c r="F112" s="37"/>
      <c r="G112" s="37"/>
      <c r="H112" s="99"/>
      <c r="I112" s="37"/>
    </row>
    <row r="113">
      <c r="A113" s="64"/>
      <c r="B113" s="37"/>
      <c r="C113" s="37"/>
      <c r="D113" s="37"/>
      <c r="E113" s="37"/>
      <c r="F113" s="64"/>
      <c r="G113" s="37"/>
      <c r="H113" s="106"/>
      <c r="I113" s="37"/>
    </row>
    <row r="114">
      <c r="A114" s="64"/>
      <c r="B114" s="37"/>
      <c r="C114" s="37"/>
      <c r="D114" s="37"/>
      <c r="E114" s="37"/>
      <c r="F114" s="64"/>
      <c r="G114" s="37"/>
      <c r="H114" s="106"/>
      <c r="I114" s="37"/>
    </row>
    <row r="115">
      <c r="A115" s="64"/>
      <c r="B115" s="105"/>
      <c r="C115" s="37"/>
      <c r="D115" s="37"/>
      <c r="E115" s="37"/>
      <c r="F115" s="64"/>
      <c r="G115" s="37"/>
      <c r="H115" s="106"/>
      <c r="I115" s="37"/>
    </row>
    <row r="116">
      <c r="A116" s="64"/>
      <c r="B116" s="37"/>
      <c r="C116" s="105"/>
      <c r="D116" s="37"/>
      <c r="E116" s="37"/>
      <c r="F116" s="37"/>
      <c r="G116" s="37"/>
      <c r="H116" s="99"/>
      <c r="I116" s="37"/>
    </row>
    <row r="117">
      <c r="A117" s="64"/>
      <c r="B117" s="37"/>
      <c r="C117" s="105"/>
      <c r="D117" s="37"/>
      <c r="E117" s="37"/>
      <c r="F117" s="37"/>
      <c r="G117" s="37"/>
      <c r="H117" s="99"/>
      <c r="I117" s="37"/>
    </row>
    <row r="118">
      <c r="A118" s="64"/>
      <c r="B118" s="105"/>
      <c r="C118" s="37"/>
      <c r="D118" s="37"/>
      <c r="E118" s="37"/>
      <c r="F118" s="64"/>
      <c r="G118" s="37"/>
      <c r="H118" s="106"/>
      <c r="I118" s="64"/>
    </row>
    <row r="119">
      <c r="A119" s="64"/>
      <c r="B119" s="105"/>
      <c r="C119" s="37"/>
      <c r="D119" s="37"/>
      <c r="E119" s="37"/>
      <c r="F119" s="64"/>
      <c r="G119" s="37"/>
      <c r="H119" s="106"/>
      <c r="I119" s="64"/>
    </row>
    <row r="120">
      <c r="A120" s="64"/>
      <c r="B120" s="105"/>
      <c r="C120" s="37"/>
      <c r="D120" s="37"/>
      <c r="E120" s="37"/>
      <c r="F120" s="64"/>
      <c r="G120" s="37"/>
      <c r="H120" s="106"/>
      <c r="I120" s="37"/>
    </row>
    <row r="121">
      <c r="A121" s="64"/>
      <c r="B121" s="37"/>
      <c r="C121" s="37"/>
      <c r="D121" s="37"/>
      <c r="E121" s="37"/>
      <c r="F121" s="37"/>
      <c r="G121" s="37"/>
      <c r="H121" s="99"/>
      <c r="I121" s="37"/>
    </row>
    <row r="122">
      <c r="A122" s="64"/>
      <c r="B122" s="105"/>
      <c r="C122" s="37"/>
      <c r="D122" s="37"/>
      <c r="E122" s="37"/>
      <c r="F122" s="64"/>
      <c r="G122" s="37"/>
      <c r="H122" s="106"/>
      <c r="I122" s="37"/>
    </row>
    <row r="123">
      <c r="A123" s="64"/>
      <c r="B123" s="105"/>
      <c r="C123" s="37"/>
      <c r="D123" s="37"/>
      <c r="E123" s="37"/>
      <c r="F123" s="37"/>
      <c r="G123" s="37"/>
      <c r="H123" s="99"/>
      <c r="I123" s="37"/>
    </row>
    <row r="124">
      <c r="A124" s="64"/>
      <c r="B124" s="105"/>
      <c r="C124" s="37"/>
      <c r="D124" s="37"/>
      <c r="E124" s="37"/>
      <c r="F124" s="64"/>
      <c r="G124" s="37"/>
      <c r="H124" s="106"/>
      <c r="I124" s="37"/>
    </row>
    <row r="125">
      <c r="A125" s="64"/>
      <c r="B125" s="37"/>
      <c r="C125" s="105"/>
      <c r="D125" s="37"/>
      <c r="E125" s="37"/>
      <c r="F125" s="37"/>
      <c r="G125" s="37"/>
      <c r="H125" s="99"/>
      <c r="I125" s="37"/>
    </row>
    <row r="126">
      <c r="A126" s="64"/>
      <c r="B126" s="105"/>
      <c r="C126" s="37"/>
      <c r="D126" s="37"/>
      <c r="E126" s="37"/>
      <c r="F126" s="64"/>
      <c r="G126" s="37"/>
      <c r="H126" s="106"/>
      <c r="I126" s="37"/>
    </row>
    <row r="127">
      <c r="A127" s="64"/>
      <c r="B127" s="37"/>
      <c r="C127" s="105"/>
      <c r="D127" s="37"/>
      <c r="E127" s="37"/>
      <c r="F127" s="37"/>
      <c r="G127" s="37"/>
      <c r="H127" s="99"/>
      <c r="I127" s="37"/>
    </row>
    <row r="128">
      <c r="A128" s="64"/>
      <c r="B128" s="37"/>
      <c r="C128" s="105"/>
      <c r="H128" s="107"/>
    </row>
    <row r="129">
      <c r="A129" s="64"/>
      <c r="B129" s="37"/>
      <c r="C129" s="105"/>
      <c r="H129" s="107"/>
    </row>
    <row r="130">
      <c r="H130" s="107"/>
    </row>
    <row r="131">
      <c r="H131" s="107"/>
    </row>
    <row r="132">
      <c r="H132" s="107"/>
    </row>
    <row r="133">
      <c r="H133" s="107"/>
    </row>
    <row r="134">
      <c r="H134" s="107"/>
    </row>
    <row r="135">
      <c r="H135" s="107"/>
    </row>
    <row r="136">
      <c r="H136" s="107"/>
    </row>
    <row r="137">
      <c r="H137" s="107"/>
    </row>
    <row r="138">
      <c r="H138" s="107"/>
    </row>
    <row r="139">
      <c r="H139" s="107"/>
    </row>
    <row r="140">
      <c r="H140" s="107"/>
    </row>
    <row r="141">
      <c r="H141" s="107"/>
    </row>
    <row r="142">
      <c r="H142" s="107"/>
    </row>
    <row r="143">
      <c r="H143" s="107"/>
    </row>
    <row r="144">
      <c r="H144" s="107"/>
    </row>
    <row r="145">
      <c r="H145" s="107"/>
    </row>
    <row r="146">
      <c r="H146" s="107"/>
    </row>
    <row r="147">
      <c r="H147" s="107"/>
    </row>
    <row r="148">
      <c r="H148" s="107"/>
    </row>
    <row r="149">
      <c r="H149" s="107"/>
    </row>
    <row r="150">
      <c r="H150" s="107"/>
    </row>
    <row r="151">
      <c r="H151" s="107"/>
    </row>
    <row r="152">
      <c r="H152" s="107"/>
    </row>
    <row r="153">
      <c r="H153" s="107"/>
    </row>
    <row r="154">
      <c r="H154" s="107"/>
    </row>
    <row r="155">
      <c r="H155" s="107"/>
    </row>
    <row r="156">
      <c r="H156" s="107"/>
    </row>
    <row r="157">
      <c r="H157" s="107"/>
    </row>
    <row r="158">
      <c r="H158" s="107"/>
    </row>
    <row r="159">
      <c r="H159" s="107"/>
    </row>
    <row r="160">
      <c r="H160" s="107"/>
    </row>
    <row r="161">
      <c r="H161" s="107"/>
    </row>
    <row r="162">
      <c r="H162" s="107"/>
    </row>
    <row r="163">
      <c r="H163" s="107"/>
    </row>
    <row r="164">
      <c r="H164" s="107"/>
    </row>
    <row r="165">
      <c r="H165" s="107"/>
    </row>
    <row r="166">
      <c r="H166" s="107"/>
    </row>
    <row r="167">
      <c r="H167" s="107"/>
    </row>
    <row r="168">
      <c r="H168" s="107"/>
    </row>
    <row r="169">
      <c r="H169" s="107"/>
    </row>
    <row r="170">
      <c r="H170" s="107"/>
    </row>
    <row r="171">
      <c r="H171" s="107"/>
    </row>
    <row r="172">
      <c r="H172" s="107"/>
    </row>
    <row r="173">
      <c r="H173" s="107"/>
    </row>
    <row r="174">
      <c r="H174" s="107"/>
    </row>
    <row r="175">
      <c r="H175" s="107"/>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242</v>
      </c>
    </row>
    <row r="2">
      <c r="B2" s="14" t="s">
        <v>243</v>
      </c>
      <c r="C2" s="76" t="s">
        <v>244</v>
      </c>
      <c r="D2" s="14" t="s">
        <v>243</v>
      </c>
    </row>
    <row r="3">
      <c r="B3" s="101">
        <v>100.0</v>
      </c>
      <c r="C3" s="76" t="s">
        <v>245</v>
      </c>
      <c r="D3" s="98">
        <f>(B3*(1/value(VLOOKUP(B2,MoneyRates!A:B,2,FALSE))))*value(VLOOKUP(D2,MoneyRates!A:B,2,FALSE))</f>
        <v>100</v>
      </c>
    </row>
    <row r="5">
      <c r="A5" s="38" t="s">
        <v>246</v>
      </c>
    </row>
    <row r="6">
      <c r="A6" s="14" t="s">
        <v>247</v>
      </c>
      <c r="B6" s="101">
        <v>100000.0</v>
      </c>
    </row>
    <row r="7">
      <c r="A7" s="14" t="s">
        <v>248</v>
      </c>
      <c r="B7" s="101">
        <v>0.0</v>
      </c>
    </row>
    <row r="8">
      <c r="A8" s="14" t="s">
        <v>249</v>
      </c>
      <c r="B8" s="101">
        <v>0.0</v>
      </c>
    </row>
    <row r="9">
      <c r="A9" s="14" t="s">
        <v>250</v>
      </c>
      <c r="B9" s="101">
        <v>0.0</v>
      </c>
    </row>
    <row r="10">
      <c r="A10" s="14" t="s">
        <v>251</v>
      </c>
      <c r="B10" s="101">
        <v>0.0</v>
      </c>
    </row>
    <row r="11">
      <c r="A11" s="14" t="s">
        <v>252</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Gunsmith (Change Name)</v>
      </c>
      <c r="C5" s="2"/>
      <c r="D5" s="108"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Mekanian</v>
      </c>
      <c r="C9" s="2"/>
      <c r="D9" s="13" t="str">
        <f>"🏹 Class: "&amp;IF(Leveler!I2,Leveler!K1&amp;CHAR(10)&amp;"Half Class: "&amp;Leveler!K2,Leveler!K1)</f>
        <v>🏹 Class: Monk
Half Class: Gunslinger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5</v>
      </c>
      <c r="C11" s="11" t="str">
        <f>"❤️[P] Constitution: "&amp;Leveler!G20+G14</f>
        <v>❤️[P] Constitution: 78</v>
      </c>
      <c r="D11" s="11" t="str">
        <f>"🏃‍♀️[P] Evasion: "&amp;Leveler!H20+H14</f>
        <v>🏃‍♀️[P] Evasion: 5</v>
      </c>
      <c r="E11" s="11" t="str">
        <f>"😈[P] Intimidation: "&amp;Leveler!I20+I14</f>
        <v>😈[P] Intimidation: 5</v>
      </c>
    </row>
    <row r="12">
      <c r="B12" s="13" t="str">
        <f>"💡 Intelligence: "&amp;Leveler!K18</f>
        <v>💡 Intelligence: </v>
      </c>
      <c r="C12" s="2"/>
      <c r="D12" s="13" t="str">
        <f>"🏊‍♀🏃‍♀️[P]  Mobility: "&amp;Leveler!J20</f>
        <v>🏊‍♀🏃‍♀️[P]  Mobility: 15</v>
      </c>
      <c r="E12" s="2"/>
    </row>
    <row r="13">
      <c r="B13" s="24" t="str">
        <f>"❤️ HP: "&amp;Leveler!B23-F10&amp;"/"&amp;Leveler!B23</f>
        <v>❤️ HP: 609/609</v>
      </c>
      <c r="C13" s="2"/>
      <c r="D13" s="24" t="str">
        <f>"🧪 SP: "&amp;Leveler!C23-G10&amp;"/"&amp;Leveler!C23</f>
        <v>🧪 SP: 609/609</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+5 Mobility, +3 Constitution,
Has dark-vision. 
Immune to Poison.
Will not gain the “Undead or Spirit Ability” when choosing a class that has it.
Weapons deal X2 damage for the user.
Gain acess to the Natural Powers, Cooldown, Overcharge, and Recharge</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X6 damage with Firearms.
Starts with the exclusive power "Lasso"
Enhanced Class Bonuses: Rank 9 in all elements (excluding Acoustic)
X6 damage with Firearms.
Firearms ignore defense for the user.
+5 Mobility
Can use mobility when attacking with a Firearm</v>
      </c>
      <c r="C18" s="6"/>
      <c r="D18" s="6"/>
      <c r="E18" s="2"/>
    </row>
    <row r="19">
      <c r="B19" s="13" t="str">
        <f>Character!B20</f>
        <v>Other Bonuses: </v>
      </c>
      <c r="C19" s="6"/>
      <c r="D19" s="6"/>
      <c r="E19" s="2"/>
    </row>
    <row r="20">
      <c r="B20" s="13" t="str">
        <f>Character!B21</f>
        <v>Resistances: 
Vulnerabilities: </v>
      </c>
      <c r="C20" s="6"/>
      <c r="D20" s="6"/>
      <c r="E20" s="2"/>
    </row>
    <row r="21">
      <c r="B21" s="109" t="s">
        <v>253</v>
      </c>
      <c r="C21" s="6"/>
      <c r="D21" s="6"/>
      <c r="E21" s="2"/>
    </row>
    <row r="22">
      <c r="B22" s="110"/>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1" t="s">
        <v>254</v>
      </c>
      <c r="I1" s="91"/>
      <c r="J1" s="91"/>
    </row>
    <row r="2">
      <c r="A2" s="96"/>
      <c r="B2" s="96"/>
      <c r="C2" s="91"/>
      <c r="D2" s="91"/>
      <c r="E2" s="91"/>
      <c r="F2" s="91"/>
      <c r="G2" s="91"/>
      <c r="H2" s="91"/>
      <c r="I2" s="91"/>
      <c r="J2" s="91"/>
    </row>
    <row r="3">
      <c r="A3" s="96" t="s">
        <v>24</v>
      </c>
      <c r="B3" s="96" t="s">
        <v>182</v>
      </c>
      <c r="C3" s="91" t="s">
        <v>213</v>
      </c>
      <c r="D3" s="91" t="s">
        <v>214</v>
      </c>
      <c r="E3" s="91" t="s">
        <v>215</v>
      </c>
      <c r="F3" s="91" t="s">
        <v>26</v>
      </c>
      <c r="G3" s="91" t="s">
        <v>216</v>
      </c>
      <c r="H3" s="91" t="s">
        <v>180</v>
      </c>
      <c r="I3" s="91"/>
      <c r="J3" s="91"/>
    </row>
    <row r="4">
      <c r="A4" s="14" t="s">
        <v>218</v>
      </c>
      <c r="B4" s="16">
        <f>IFNA(VLOOKUP($A4,Spells!$A$2:$I1002,MATCH(B$3,Spells!$A$1:$I$1,0),FALSE))</f>
        <v>1</v>
      </c>
      <c r="C4" s="16">
        <f>IFNA(VLOOKUP($A4,Spells!$A$2:$I1002,MATCH(C$3,Spells!$A$1:$I$1,0),FALSE))</f>
        <v>0</v>
      </c>
      <c r="D4" s="16" t="str">
        <f>IFNA(VLOOKUP($A4,Spells!$A$2:$I1002,MATCH(D$3,Spells!$A$1:$I$1,0),FALSE))</f>
        <v/>
      </c>
      <c r="E4" s="16" t="str">
        <f>IFNA(VLOOKUP($A4,Spells!$A$2:$I1002,MATCH(E$3,Spells!$A$1:$I$1,0),FALSE))</f>
        <v>Remove a player or npc from battle Using your mobility bonus, they cannot perform their turn order while removed from the battle. </v>
      </c>
      <c r="F4" s="16" t="str">
        <f>IFNA(VLOOKUP($A4,Spells!$A$2:$I1002,MATCH(F$3,Spells!$A$1:$I$1,0),FALSE))</f>
        <v>Natural/Hit or Miss</v>
      </c>
      <c r="G4" s="16">
        <f>IFNA(VLOOKUP($A4,Spells!$A$2:$I1002,MATCH(G$3,Spells!$A$1:$I$1,0),FALSE))</f>
        <v>1</v>
      </c>
      <c r="H4" s="16" t="str">
        <f>IFNA(VLOOKUP($A4,Spells!$A$2:$I1002,MATCH(H$3,Spells!$A$1:$I$1,0),FALSE))</f>
        <v>Physical</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255</v>
      </c>
      <c r="G1" s="38" t="s">
        <v>256</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257</v>
      </c>
      <c r="B1" s="91" t="s">
        <v>258</v>
      </c>
      <c r="C1" s="91" t="s">
        <v>259</v>
      </c>
      <c r="D1" s="91" t="s">
        <v>79</v>
      </c>
      <c r="E1" s="91" t="s">
        <v>260</v>
      </c>
      <c r="F1" s="38" t="s">
        <v>255</v>
      </c>
      <c r="G1" s="39" t="s">
        <v>261</v>
      </c>
      <c r="H1" s="39" t="s">
        <v>262</v>
      </c>
      <c r="I1" s="39" t="s">
        <v>256</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2" t="b">
        <v>0</v>
      </c>
      <c r="H2" s="112" t="b">
        <v>0</v>
      </c>
      <c r="I2" s="112"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2" t="b">
        <v>0</v>
      </c>
      <c r="H3" s="112" t="b">
        <v>0</v>
      </c>
      <c r="I3" s="112"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2" t="b">
        <v>0</v>
      </c>
      <c r="H4" s="112" t="b">
        <v>0</v>
      </c>
      <c r="I4" s="112"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2" t="b">
        <v>0</v>
      </c>
      <c r="H5" s="112" t="b">
        <v>0</v>
      </c>
      <c r="I5" s="112"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2" t="b">
        <v>0</v>
      </c>
      <c r="H6" s="112" t="b">
        <v>0</v>
      </c>
      <c r="I6" s="112"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2" t="b">
        <v>0</v>
      </c>
      <c r="H7" s="112" t="b">
        <v>0</v>
      </c>
      <c r="I7" s="112"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2" t="b">
        <v>0</v>
      </c>
      <c r="H8" s="112" t="b">
        <v>0</v>
      </c>
      <c r="I8" s="112"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2" t="b">
        <v>0</v>
      </c>
      <c r="H9" s="112" t="b">
        <v>0</v>
      </c>
      <c r="I9" s="112"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2" t="b">
        <v>0</v>
      </c>
      <c r="H10" s="112" t="b">
        <v>0</v>
      </c>
      <c r="I10" s="112"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2" t="b">
        <v>0</v>
      </c>
      <c r="H11" s="112" t="b">
        <v>0</v>
      </c>
      <c r="I11" s="112"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2" t="b">
        <v>0</v>
      </c>
      <c r="H12" s="112" t="b">
        <v>0</v>
      </c>
      <c r="I12" s="112"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2" t="b">
        <v>0</v>
      </c>
      <c r="H13" s="112" t="b">
        <v>0</v>
      </c>
      <c r="I13" s="112"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2" t="b">
        <v>0</v>
      </c>
      <c r="H14" s="112" t="b">
        <v>0</v>
      </c>
      <c r="I14" s="112"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2" t="b">
        <v>0</v>
      </c>
      <c r="H15" s="112" t="b">
        <v>0</v>
      </c>
      <c r="I15" s="112"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2" t="b">
        <v>0</v>
      </c>
      <c r="H16" s="112" t="b">
        <v>0</v>
      </c>
      <c r="I16" s="112"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2" t="b">
        <v>0</v>
      </c>
      <c r="H17" s="112" t="b">
        <v>0</v>
      </c>
      <c r="I17" s="112"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2" t="b">
        <v>0</v>
      </c>
      <c r="H18" s="112" t="b">
        <v>0</v>
      </c>
      <c r="I18" s="112"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2" t="b">
        <v>0</v>
      </c>
      <c r="H19" s="112" t="b">
        <v>0</v>
      </c>
      <c r="I19" s="112"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2" t="b">
        <v>0</v>
      </c>
      <c r="H20" s="112" t="b">
        <v>0</v>
      </c>
      <c r="I20" s="112"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2" t="b">
        <v>0</v>
      </c>
      <c r="H21" s="112" t="b">
        <v>0</v>
      </c>
      <c r="I21" s="112"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2" t="b">
        <v>0</v>
      </c>
      <c r="H22" s="112" t="b">
        <v>0</v>
      </c>
      <c r="I22" s="112"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2" t="b">
        <v>0</v>
      </c>
      <c r="H23" s="112" t="b">
        <v>0</v>
      </c>
      <c r="I23" s="112"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2" t="b">
        <v>0</v>
      </c>
      <c r="H24" s="112" t="b">
        <v>0</v>
      </c>
      <c r="I24" s="112"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2" t="b">
        <v>0</v>
      </c>
      <c r="H25" s="112" t="b">
        <v>0</v>
      </c>
      <c r="I25" s="112"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2" t="b">
        <v>0</v>
      </c>
      <c r="H26" s="112" t="b">
        <v>0</v>
      </c>
      <c r="I26" s="112"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2" t="b">
        <v>0</v>
      </c>
      <c r="H27" s="112" t="b">
        <v>0</v>
      </c>
      <c r="I27" s="112"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2" t="b">
        <v>0</v>
      </c>
      <c r="H28" s="112" t="b">
        <v>0</v>
      </c>
      <c r="I28" s="112"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2" t="b">
        <v>0</v>
      </c>
      <c r="H29" s="112" t="b">
        <v>0</v>
      </c>
      <c r="I29" s="112"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2" t="b">
        <v>0</v>
      </c>
      <c r="H30" s="112" t="b">
        <v>0</v>
      </c>
      <c r="I30" s="112"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2" t="b">
        <v>0</v>
      </c>
      <c r="H31" s="112" t="b">
        <v>0</v>
      </c>
      <c r="I31" s="112"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2" t="b">
        <v>0</v>
      </c>
      <c r="H32" s="112" t="b">
        <v>0</v>
      </c>
      <c r="I32" s="112"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2" t="b">
        <v>0</v>
      </c>
      <c r="H33" s="112" t="b">
        <v>0</v>
      </c>
      <c r="I33" s="112"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2" t="b">
        <v>0</v>
      </c>
      <c r="H34" s="112" t="b">
        <v>0</v>
      </c>
      <c r="I34" s="112"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2" t="b">
        <v>0</v>
      </c>
      <c r="H35" s="112" t="b">
        <v>0</v>
      </c>
      <c r="I35" s="112"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2" t="b">
        <v>0</v>
      </c>
      <c r="H36" s="112" t="b">
        <v>0</v>
      </c>
      <c r="I36" s="112"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2" t="b">
        <v>0</v>
      </c>
      <c r="H37" s="112" t="b">
        <v>0</v>
      </c>
      <c r="I37" s="112"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2" t="b">
        <v>0</v>
      </c>
      <c r="H38" s="112" t="b">
        <v>0</v>
      </c>
      <c r="I38" s="112"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2" t="b">
        <v>0</v>
      </c>
      <c r="H39" s="112" t="b">
        <v>0</v>
      </c>
      <c r="I39" s="112"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2" t="b">
        <v>0</v>
      </c>
      <c r="H40" s="112" t="b">
        <v>0</v>
      </c>
      <c r="I40" s="112"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2" t="b">
        <v>0</v>
      </c>
      <c r="H41" s="112" t="b">
        <v>0</v>
      </c>
      <c r="I41" s="112"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2" t="b">
        <v>0</v>
      </c>
      <c r="H42" s="112" t="b">
        <v>0</v>
      </c>
      <c r="I42" s="112"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2" t="b">
        <v>0</v>
      </c>
      <c r="H43" s="112" t="b">
        <v>0</v>
      </c>
      <c r="I43" s="112"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2" t="b">
        <v>0</v>
      </c>
      <c r="H44" s="112" t="b">
        <v>0</v>
      </c>
      <c r="I44" s="112"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2" t="b">
        <v>0</v>
      </c>
      <c r="H45" s="112" t="b">
        <v>0</v>
      </c>
      <c r="I45" s="112"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2" t="b">
        <v>0</v>
      </c>
      <c r="H46" s="112" t="b">
        <v>0</v>
      </c>
      <c r="I46" s="112"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2" t="b">
        <v>0</v>
      </c>
      <c r="H47" s="112" t="b">
        <v>0</v>
      </c>
      <c r="I47" s="112"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2" t="b">
        <v>0</v>
      </c>
      <c r="H48" s="112" t="b">
        <v>0</v>
      </c>
      <c r="I48" s="112"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2" t="b">
        <v>0</v>
      </c>
      <c r="H49" s="112" t="b">
        <v>0</v>
      </c>
      <c r="I49" s="112"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2" t="b">
        <v>0</v>
      </c>
      <c r="H50" s="112" t="b">
        <v>0</v>
      </c>
      <c r="I50" s="112"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2" t="b">
        <v>0</v>
      </c>
      <c r="H51" s="112" t="b">
        <v>0</v>
      </c>
      <c r="I51" s="112"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2" t="b">
        <v>0</v>
      </c>
      <c r="H52" s="112" t="b">
        <v>0</v>
      </c>
      <c r="I52" s="112"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2" t="b">
        <v>0</v>
      </c>
      <c r="H53" s="112" t="b">
        <v>0</v>
      </c>
      <c r="I53" s="112"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2" t="b">
        <v>0</v>
      </c>
      <c r="H54" s="112" t="b">
        <v>0</v>
      </c>
      <c r="I54" s="112"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2" t="b">
        <v>0</v>
      </c>
      <c r="H55" s="112" t="b">
        <v>0</v>
      </c>
      <c r="I55" s="112"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2" t="b">
        <v>0</v>
      </c>
      <c r="H56" s="112" t="b">
        <v>0</v>
      </c>
      <c r="I56" s="112"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2" t="b">
        <v>0</v>
      </c>
      <c r="H57" s="112" t="b">
        <v>0</v>
      </c>
      <c r="I57" s="112"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2" t="b">
        <v>0</v>
      </c>
      <c r="H58" s="112" t="b">
        <v>0</v>
      </c>
      <c r="I58" s="112"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2" t="b">
        <v>0</v>
      </c>
      <c r="H59" s="112" t="b">
        <v>0</v>
      </c>
      <c r="I59" s="112"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2" t="b">
        <v>0</v>
      </c>
      <c r="H60" s="112" t="b">
        <v>0</v>
      </c>
      <c r="I60" s="112"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2" t="b">
        <v>0</v>
      </c>
      <c r="H61" s="112" t="b">
        <v>0</v>
      </c>
      <c r="I61" s="112"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2" t="b">
        <v>0</v>
      </c>
      <c r="H62" s="112" t="b">
        <v>0</v>
      </c>
      <c r="I62" s="112"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2" t="b">
        <v>0</v>
      </c>
      <c r="H63" s="112" t="b">
        <v>0</v>
      </c>
      <c r="I63" s="112"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2" t="b">
        <v>0</v>
      </c>
      <c r="H64" s="112" t="b">
        <v>0</v>
      </c>
      <c r="I64" s="112"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2" t="b">
        <v>0</v>
      </c>
      <c r="H65" s="112" t="b">
        <v>0</v>
      </c>
      <c r="I65" s="112"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2" t="b">
        <v>0</v>
      </c>
      <c r="H66" s="112" t="b">
        <v>0</v>
      </c>
      <c r="I66" s="112"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2" t="b">
        <v>0</v>
      </c>
      <c r="H67" s="112" t="b">
        <v>0</v>
      </c>
      <c r="I67" s="112"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3" t="b">
        <v>0</v>
      </c>
      <c r="H68" s="113" t="b">
        <v>0</v>
      </c>
      <c r="I68" s="113"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3" t="b">
        <v>0</v>
      </c>
      <c r="H69" s="113" t="b">
        <v>0</v>
      </c>
      <c r="I69" s="113"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3" t="b">
        <v>0</v>
      </c>
      <c r="H70" s="113" t="b">
        <v>0</v>
      </c>
      <c r="I70" s="113"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3" t="b">
        <v>0</v>
      </c>
      <c r="H71" s="113" t="b">
        <v>0</v>
      </c>
      <c r="I71" s="113"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3" t="b">
        <v>0</v>
      </c>
      <c r="H72" s="113" t="b">
        <v>0</v>
      </c>
      <c r="I72" s="113"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3" t="b">
        <v>0</v>
      </c>
      <c r="H73" s="113" t="b">
        <v>0</v>
      </c>
      <c r="I73" s="113"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3" t="b">
        <v>0</v>
      </c>
      <c r="H74" s="113" t="b">
        <v>0</v>
      </c>
      <c r="I74" s="113"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3" t="b">
        <v>0</v>
      </c>
      <c r="H75" s="113" t="b">
        <v>0</v>
      </c>
      <c r="I75" s="113"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3" t="b">
        <v>0</v>
      </c>
      <c r="H76" s="113" t="b">
        <v>0</v>
      </c>
      <c r="I76" s="113"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3" t="b">
        <v>0</v>
      </c>
      <c r="H77" s="113" t="b">
        <v>0</v>
      </c>
      <c r="I77" s="113"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3" t="b">
        <v>0</v>
      </c>
      <c r="H78" s="113" t="b">
        <v>0</v>
      </c>
      <c r="I78" s="113"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3" t="b">
        <v>0</v>
      </c>
      <c r="H79" s="113" t="b">
        <v>0</v>
      </c>
      <c r="I79" s="113"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3" t="b">
        <v>0</v>
      </c>
      <c r="H80" s="113" t="b">
        <v>0</v>
      </c>
      <c r="I80" s="113"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3" t="b">
        <v>0</v>
      </c>
      <c r="H81" s="113" t="b">
        <v>0</v>
      </c>
      <c r="I81" s="113"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3" t="b">
        <v>0</v>
      </c>
      <c r="H82" s="113" t="b">
        <v>0</v>
      </c>
      <c r="I82" s="113"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3" t="b">
        <v>0</v>
      </c>
      <c r="H83" s="113" t="b">
        <v>0</v>
      </c>
      <c r="I83" s="113"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3" t="b">
        <v>0</v>
      </c>
      <c r="H84" s="113" t="b">
        <v>0</v>
      </c>
      <c r="I84" s="113"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3" t="b">
        <v>0</v>
      </c>
      <c r="H85" s="113" t="b">
        <v>0</v>
      </c>
      <c r="I85" s="113"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3" t="b">
        <v>0</v>
      </c>
      <c r="H86" s="113" t="b">
        <v>0</v>
      </c>
      <c r="I86" s="113"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3" t="b">
        <v>0</v>
      </c>
      <c r="H87" s="113" t="b">
        <v>0</v>
      </c>
      <c r="I87" s="113"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3" t="b">
        <v>0</v>
      </c>
      <c r="H88" s="113" t="b">
        <v>0</v>
      </c>
      <c r="I88" s="113"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3" t="b">
        <v>0</v>
      </c>
      <c r="H89" s="113" t="b">
        <v>0</v>
      </c>
      <c r="I89" s="113"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3" t="b">
        <v>0</v>
      </c>
      <c r="H90" s="113" t="b">
        <v>0</v>
      </c>
      <c r="I90" s="113"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3" t="b">
        <v>0</v>
      </c>
      <c r="H91" s="113" t="b">
        <v>0</v>
      </c>
      <c r="I91" s="113"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3" t="b">
        <v>0</v>
      </c>
      <c r="H92" s="113" t="b">
        <v>0</v>
      </c>
      <c r="I92" s="113"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3" t="b">
        <v>0</v>
      </c>
      <c r="H93" s="113" t="b">
        <v>0</v>
      </c>
      <c r="I93" s="113"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3" t="b">
        <v>0</v>
      </c>
      <c r="H94" s="113" t="b">
        <v>0</v>
      </c>
      <c r="I94" s="113"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3" t="b">
        <v>0</v>
      </c>
      <c r="H95" s="113" t="b">
        <v>0</v>
      </c>
      <c r="I95" s="113"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3" t="b">
        <v>0</v>
      </c>
      <c r="H96" s="113" t="b">
        <v>0</v>
      </c>
      <c r="I96" s="113"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3" t="b">
        <v>0</v>
      </c>
      <c r="H97" s="113" t="b">
        <v>0</v>
      </c>
      <c r="I97" s="113"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3" t="b">
        <v>0</v>
      </c>
      <c r="H98" s="113" t="b">
        <v>0</v>
      </c>
      <c r="I98" s="113"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3" t="b">
        <v>0</v>
      </c>
      <c r="H99" s="113" t="b">
        <v>0</v>
      </c>
      <c r="I99" s="113"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3" t="b">
        <v>0</v>
      </c>
      <c r="H100" s="113" t="b">
        <v>0</v>
      </c>
      <c r="I100" s="113"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3" t="b">
        <v>0</v>
      </c>
      <c r="H101" s="113" t="b">
        <v>0</v>
      </c>
      <c r="I101" s="113"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3" t="b">
        <v>0</v>
      </c>
      <c r="H102" s="113" t="b">
        <v>0</v>
      </c>
      <c r="I102" s="113"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3" t="b">
        <v>0</v>
      </c>
      <c r="H103" s="113" t="b">
        <v>0</v>
      </c>
      <c r="I103" s="113"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3" t="b">
        <v>0</v>
      </c>
      <c r="H104" s="113" t="b">
        <v>0</v>
      </c>
      <c r="I104" s="113"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3" t="b">
        <v>0</v>
      </c>
      <c r="H105" s="113" t="b">
        <v>0</v>
      </c>
      <c r="I105" s="113"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3" t="b">
        <v>0</v>
      </c>
      <c r="H106" s="113" t="b">
        <v>0</v>
      </c>
      <c r="I106" s="113"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3" t="b">
        <v>0</v>
      </c>
      <c r="H107" s="113" t="b">
        <v>0</v>
      </c>
      <c r="I107" s="113"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3" t="b">
        <v>0</v>
      </c>
      <c r="H108" s="113" t="b">
        <v>0</v>
      </c>
      <c r="I108" s="113"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3" t="b">
        <v>0</v>
      </c>
      <c r="H109" s="113" t="b">
        <v>0</v>
      </c>
      <c r="I109" s="113"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3" t="b">
        <v>0</v>
      </c>
      <c r="H110" s="113" t="b">
        <v>0</v>
      </c>
      <c r="I110" s="113"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3" t="b">
        <v>0</v>
      </c>
      <c r="H111" s="113" t="b">
        <v>0</v>
      </c>
      <c r="I111" s="113"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3" t="b">
        <v>0</v>
      </c>
      <c r="H112" s="113" t="b">
        <v>0</v>
      </c>
      <c r="I112" s="113"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3" t="b">
        <v>0</v>
      </c>
      <c r="H113" s="113" t="b">
        <v>0</v>
      </c>
      <c r="I113" s="113"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3" t="b">
        <v>0</v>
      </c>
      <c r="H114" s="113" t="b">
        <v>0</v>
      </c>
      <c r="I114" s="113"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3" t="b">
        <v>0</v>
      </c>
      <c r="H115" s="113" t="b">
        <v>0</v>
      </c>
      <c r="I115" s="113"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3" t="b">
        <v>0</v>
      </c>
      <c r="H116" s="113" t="b">
        <v>0</v>
      </c>
      <c r="I116" s="113"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3" t="b">
        <v>0</v>
      </c>
      <c r="H117" s="113" t="b">
        <v>0</v>
      </c>
      <c r="I117" s="113"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3" t="b">
        <v>0</v>
      </c>
      <c r="H118" s="113" t="b">
        <v>0</v>
      </c>
      <c r="I118" s="113"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3" t="b">
        <v>0</v>
      </c>
      <c r="H119" s="113" t="b">
        <v>0</v>
      </c>
      <c r="I119" s="113"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3" t="b">
        <v>0</v>
      </c>
      <c r="H120" s="113" t="b">
        <v>0</v>
      </c>
      <c r="I120" s="113"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3" t="b">
        <v>0</v>
      </c>
      <c r="H121" s="113" t="b">
        <v>0</v>
      </c>
      <c r="I121" s="113"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3" t="b">
        <v>0</v>
      </c>
      <c r="H122" s="113" t="b">
        <v>0</v>
      </c>
      <c r="I122" s="113"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3" t="b">
        <v>0</v>
      </c>
      <c r="H123" s="113" t="b">
        <v>0</v>
      </c>
      <c r="I123" s="113"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3" t="b">
        <v>0</v>
      </c>
      <c r="H124" s="113" t="b">
        <v>0</v>
      </c>
      <c r="I124" s="113"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3" t="b">
        <v>0</v>
      </c>
      <c r="H125" s="113" t="b">
        <v>0</v>
      </c>
      <c r="I125" s="113"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3" t="b">
        <v>0</v>
      </c>
      <c r="H126" s="113" t="b">
        <v>0</v>
      </c>
      <c r="I126" s="113"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3" t="b">
        <v>0</v>
      </c>
      <c r="H127" s="113" t="b">
        <v>0</v>
      </c>
      <c r="I127" s="113"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3" t="b">
        <v>0</v>
      </c>
      <c r="H128" s="113" t="b">
        <v>0</v>
      </c>
      <c r="I128" s="113"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3" t="b">
        <v>0</v>
      </c>
      <c r="H129" s="113" t="b">
        <v>0</v>
      </c>
      <c r="I129" s="113"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3" t="b">
        <v>0</v>
      </c>
      <c r="H130" s="113" t="b">
        <v>0</v>
      </c>
      <c r="I130" s="113"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3" t="b">
        <v>0</v>
      </c>
      <c r="H131" s="113" t="b">
        <v>0</v>
      </c>
      <c r="I131" s="113"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3" t="b">
        <v>0</v>
      </c>
      <c r="H132" s="113" t="b">
        <v>0</v>
      </c>
      <c r="I132" s="113"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3" t="b">
        <v>0</v>
      </c>
      <c r="H133" s="113" t="b">
        <v>0</v>
      </c>
      <c r="I133" s="113"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3" t="b">
        <v>0</v>
      </c>
      <c r="H134" s="113" t="b">
        <v>0</v>
      </c>
      <c r="I134" s="113"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3" t="b">
        <v>0</v>
      </c>
      <c r="H135" s="113" t="b">
        <v>0</v>
      </c>
      <c r="I135" s="113"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3" t="b">
        <v>0</v>
      </c>
      <c r="H136" s="113" t="b">
        <v>0</v>
      </c>
      <c r="I136" s="113"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3" t="b">
        <v>0</v>
      </c>
      <c r="H137" s="113" t="b">
        <v>0</v>
      </c>
      <c r="I137" s="113"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3" t="b">
        <v>0</v>
      </c>
      <c r="H138" s="113" t="b">
        <v>0</v>
      </c>
      <c r="I138" s="113"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3" t="b">
        <v>0</v>
      </c>
      <c r="H139" s="113" t="b">
        <v>0</v>
      </c>
      <c r="I139" s="113"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3" t="b">
        <v>0</v>
      </c>
      <c r="H140" s="113" t="b">
        <v>0</v>
      </c>
      <c r="I140" s="113"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3" t="b">
        <v>0</v>
      </c>
      <c r="H141" s="113" t="b">
        <v>0</v>
      </c>
      <c r="I141" s="113"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3" t="b">
        <v>0</v>
      </c>
      <c r="H142" s="113" t="b">
        <v>0</v>
      </c>
      <c r="I142" s="113"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3" t="b">
        <v>0</v>
      </c>
      <c r="H143" s="113" t="b">
        <v>0</v>
      </c>
      <c r="I143" s="113"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3" t="b">
        <v>0</v>
      </c>
      <c r="H144" s="113" t="b">
        <v>0</v>
      </c>
      <c r="I144" s="113"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3" t="b">
        <v>0</v>
      </c>
      <c r="H145" s="113" t="b">
        <v>0</v>
      </c>
      <c r="I145" s="113"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3" t="b">
        <v>0</v>
      </c>
      <c r="H146" s="113" t="b">
        <v>0</v>
      </c>
      <c r="I146" s="113"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3" t="b">
        <v>0</v>
      </c>
      <c r="H147" s="113" t="b">
        <v>0</v>
      </c>
      <c r="I147" s="113"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3" t="b">
        <v>0</v>
      </c>
      <c r="H148" s="113" t="b">
        <v>0</v>
      </c>
      <c r="I148" s="113"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3" t="b">
        <v>0</v>
      </c>
      <c r="H149" s="113" t="b">
        <v>0</v>
      </c>
      <c r="I149" s="113"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3" t="b">
        <v>0</v>
      </c>
      <c r="H150" s="113" t="b">
        <v>0</v>
      </c>
      <c r="I150" s="113"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3" t="b">
        <v>0</v>
      </c>
      <c r="H151" s="113" t="b">
        <v>0</v>
      </c>
      <c r="I151" s="113"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3" t="b">
        <v>0</v>
      </c>
      <c r="H152" s="113" t="b">
        <v>0</v>
      </c>
      <c r="I152" s="113"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3" t="b">
        <v>0</v>
      </c>
      <c r="H153" s="113" t="b">
        <v>0</v>
      </c>
      <c r="I153" s="113"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3" t="b">
        <v>0</v>
      </c>
      <c r="H154" s="113" t="b">
        <v>0</v>
      </c>
      <c r="I154" s="113"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3" t="b">
        <v>0</v>
      </c>
      <c r="H155" s="113" t="b">
        <v>0</v>
      </c>
      <c r="I155" s="113"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3" t="b">
        <v>0</v>
      </c>
      <c r="H156" s="113" t="b">
        <v>0</v>
      </c>
      <c r="I156" s="113"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3" t="b">
        <v>0</v>
      </c>
      <c r="H157" s="113" t="b">
        <v>0</v>
      </c>
      <c r="I157" s="113"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3" t="b">
        <v>0</v>
      </c>
      <c r="H158" s="113" t="b">
        <v>0</v>
      </c>
      <c r="I158" s="113"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3" t="b">
        <v>0</v>
      </c>
      <c r="H159" s="113" t="b">
        <v>0</v>
      </c>
      <c r="I159" s="113"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3" t="b">
        <v>0</v>
      </c>
      <c r="H160" s="113" t="b">
        <v>0</v>
      </c>
      <c r="I160" s="113"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3" t="b">
        <v>0</v>
      </c>
      <c r="H161" s="113" t="b">
        <v>0</v>
      </c>
      <c r="I161" s="113"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3" t="b">
        <v>0</v>
      </c>
      <c r="H162" s="113" t="b">
        <v>0</v>
      </c>
      <c r="I162" s="113"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3" t="b">
        <v>0</v>
      </c>
      <c r="H163" s="113" t="b">
        <v>0</v>
      </c>
      <c r="I163" s="113"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3" t="b">
        <v>0</v>
      </c>
      <c r="H164" s="113" t="b">
        <v>0</v>
      </c>
      <c r="I164" s="113"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3" t="b">
        <v>0</v>
      </c>
      <c r="H165" s="113" t="b">
        <v>0</v>
      </c>
      <c r="I165" s="113"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3" t="b">
        <v>0</v>
      </c>
      <c r="H166" s="113" t="b">
        <v>0</v>
      </c>
      <c r="I166" s="113"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3" t="b">
        <v>0</v>
      </c>
      <c r="H167" s="113" t="b">
        <v>0</v>
      </c>
      <c r="I167" s="113"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3" t="b">
        <v>0</v>
      </c>
      <c r="H168" s="113" t="b">
        <v>0</v>
      </c>
      <c r="I168" s="113"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3" t="b">
        <v>0</v>
      </c>
      <c r="H169" s="113" t="b">
        <v>0</v>
      </c>
      <c r="I169" s="113"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3" t="b">
        <v>0</v>
      </c>
      <c r="H170" s="113" t="b">
        <v>0</v>
      </c>
      <c r="I170" s="113"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3" t="b">
        <v>0</v>
      </c>
      <c r="H171" s="113" t="b">
        <v>0</v>
      </c>
      <c r="I171" s="113"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3" t="b">
        <v>0</v>
      </c>
      <c r="H172" s="113" t="b">
        <v>0</v>
      </c>
      <c r="I172" s="113"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3" t="b">
        <v>0</v>
      </c>
      <c r="H173" s="113" t="b">
        <v>0</v>
      </c>
      <c r="I173" s="113"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3" t="b">
        <v>0</v>
      </c>
      <c r="H174" s="113" t="b">
        <v>0</v>
      </c>
      <c r="I174" s="113"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3" t="b">
        <v>0</v>
      </c>
      <c r="H175" s="113" t="b">
        <v>0</v>
      </c>
      <c r="I175" s="113"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3" t="b">
        <v>0</v>
      </c>
      <c r="H176" s="113" t="b">
        <v>0</v>
      </c>
      <c r="I176" s="113"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3" t="b">
        <v>0</v>
      </c>
      <c r="H177" s="113" t="b">
        <v>0</v>
      </c>
      <c r="I177" s="113"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3" t="b">
        <v>0</v>
      </c>
      <c r="H178" s="113" t="b">
        <v>0</v>
      </c>
      <c r="I178" s="113"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3" t="b">
        <v>0</v>
      </c>
      <c r="H179" s="113" t="b">
        <v>0</v>
      </c>
      <c r="I179" s="113"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3" t="b">
        <v>0</v>
      </c>
      <c r="H180" s="113" t="b">
        <v>0</v>
      </c>
      <c r="I180" s="113"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3" t="b">
        <v>0</v>
      </c>
      <c r="H181" s="113" t="b">
        <v>0</v>
      </c>
      <c r="I181" s="113"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3" t="b">
        <v>0</v>
      </c>
      <c r="H182" s="113" t="b">
        <v>0</v>
      </c>
      <c r="I182" s="113"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3" t="b">
        <v>0</v>
      </c>
      <c r="H183" s="113" t="b">
        <v>0</v>
      </c>
      <c r="I183" s="113"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3" t="b">
        <v>0</v>
      </c>
      <c r="H184" s="113" t="b">
        <v>0</v>
      </c>
      <c r="I184" s="113"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3" t="b">
        <v>0</v>
      </c>
      <c r="H185" s="113" t="b">
        <v>0</v>
      </c>
      <c r="I185" s="113"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3" t="b">
        <v>0</v>
      </c>
      <c r="H186" s="113" t="b">
        <v>0</v>
      </c>
      <c r="I186" s="113"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3" t="b">
        <v>0</v>
      </c>
      <c r="H187" s="113" t="b">
        <v>0</v>
      </c>
      <c r="I187" s="113"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3" t="b">
        <v>0</v>
      </c>
      <c r="H188" s="113" t="b">
        <v>0</v>
      </c>
      <c r="I188" s="113"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3" t="b">
        <v>0</v>
      </c>
      <c r="H189" s="113" t="b">
        <v>0</v>
      </c>
      <c r="I189" s="113"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3" t="b">
        <v>0</v>
      </c>
      <c r="H190" s="113" t="b">
        <v>0</v>
      </c>
      <c r="I190" s="113"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3" t="b">
        <v>0</v>
      </c>
      <c r="H191" s="113" t="b">
        <v>0</v>
      </c>
      <c r="I191" s="113"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3" t="b">
        <v>0</v>
      </c>
      <c r="H192" s="113" t="b">
        <v>0</v>
      </c>
      <c r="I192" s="113"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3" t="b">
        <v>0</v>
      </c>
      <c r="H193" s="113" t="b">
        <v>0</v>
      </c>
      <c r="I193" s="113"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3" t="b">
        <v>0</v>
      </c>
      <c r="H194" s="113" t="b">
        <v>0</v>
      </c>
      <c r="I194" s="113"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3" t="b">
        <v>0</v>
      </c>
      <c r="H195" s="113" t="b">
        <v>0</v>
      </c>
      <c r="I195" s="113"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3" t="b">
        <v>0</v>
      </c>
      <c r="H196" s="113" t="b">
        <v>0</v>
      </c>
      <c r="I196" s="113"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3" t="b">
        <v>0</v>
      </c>
      <c r="H197" s="113" t="b">
        <v>0</v>
      </c>
      <c r="I197" s="113"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3" t="b">
        <v>0</v>
      </c>
      <c r="H198" s="113" t="b">
        <v>0</v>
      </c>
      <c r="I198" s="113"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3" t="b">
        <v>0</v>
      </c>
      <c r="H199" s="113" t="b">
        <v>0</v>
      </c>
      <c r="I199" s="113"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3" t="b">
        <v>0</v>
      </c>
      <c r="H200" s="113" t="b">
        <v>0</v>
      </c>
      <c r="I200" s="113"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3" t="b">
        <v>0</v>
      </c>
      <c r="H201" s="113" t="b">
        <v>0</v>
      </c>
      <c r="I201" s="113"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3" t="b">
        <v>0</v>
      </c>
      <c r="H202" s="113" t="b">
        <v>0</v>
      </c>
      <c r="I202" s="113"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3" t="b">
        <v>0</v>
      </c>
      <c r="H203" s="113" t="b">
        <v>0</v>
      </c>
      <c r="I203" s="113"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3" t="b">
        <v>0</v>
      </c>
      <c r="H204" s="113" t="b">
        <v>0</v>
      </c>
      <c r="I204" s="113"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3" t="b">
        <v>0</v>
      </c>
      <c r="H205" s="113" t="b">
        <v>0</v>
      </c>
      <c r="I205" s="113"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3" t="b">
        <v>0</v>
      </c>
      <c r="H206" s="113" t="b">
        <v>0</v>
      </c>
      <c r="I206" s="113"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3" t="b">
        <v>0</v>
      </c>
      <c r="H207" s="113" t="b">
        <v>0</v>
      </c>
      <c r="I207" s="113"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3" t="b">
        <v>0</v>
      </c>
      <c r="H208" s="113" t="b">
        <v>0</v>
      </c>
      <c r="I208" s="113"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3" t="b">
        <v>0</v>
      </c>
      <c r="H209" s="113" t="b">
        <v>0</v>
      </c>
      <c r="I209" s="113"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3" t="b">
        <v>0</v>
      </c>
      <c r="H210" s="113" t="b">
        <v>0</v>
      </c>
      <c r="I210" s="113"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3" t="b">
        <v>0</v>
      </c>
      <c r="H211" s="113" t="b">
        <v>0</v>
      </c>
      <c r="I211" s="113"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3" t="b">
        <v>0</v>
      </c>
      <c r="H212" s="113" t="b">
        <v>0</v>
      </c>
      <c r="I212" s="113"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3" t="b">
        <v>0</v>
      </c>
      <c r="H213" s="113" t="b">
        <v>0</v>
      </c>
      <c r="I213" s="113"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3" t="b">
        <v>0</v>
      </c>
      <c r="H214" s="113" t="b">
        <v>0</v>
      </c>
      <c r="I214" s="113"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3" t="b">
        <v>0</v>
      </c>
      <c r="H215" s="113" t="b">
        <v>0</v>
      </c>
      <c r="I215" s="113"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3" t="b">
        <v>0</v>
      </c>
      <c r="H216" s="113" t="b">
        <v>0</v>
      </c>
      <c r="I216" s="113"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3" t="b">
        <v>0</v>
      </c>
      <c r="H217" s="113" t="b">
        <v>0</v>
      </c>
      <c r="I217" s="113"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3" t="b">
        <v>0</v>
      </c>
      <c r="H218" s="113" t="b">
        <v>0</v>
      </c>
      <c r="I218" s="113"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3" t="b">
        <v>0</v>
      </c>
      <c r="H219" s="113" t="b">
        <v>0</v>
      </c>
      <c r="I219" s="113"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3" t="b">
        <v>0</v>
      </c>
      <c r="H220" s="113" t="b">
        <v>0</v>
      </c>
      <c r="I220" s="113"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3" t="b">
        <v>0</v>
      </c>
      <c r="H221" s="113" t="b">
        <v>0</v>
      </c>
      <c r="I221" s="113"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3" t="b">
        <v>0</v>
      </c>
      <c r="H222" s="113" t="b">
        <v>0</v>
      </c>
      <c r="I222" s="113"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3" t="b">
        <v>0</v>
      </c>
      <c r="H223" s="113" t="b">
        <v>0</v>
      </c>
      <c r="I223" s="113"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3" t="b">
        <v>0</v>
      </c>
      <c r="H224" s="113" t="b">
        <v>0</v>
      </c>
      <c r="I224" s="113"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3" t="b">
        <v>0</v>
      </c>
      <c r="H225" s="113" t="b">
        <v>0</v>
      </c>
      <c r="I225" s="113"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3" t="b">
        <v>0</v>
      </c>
      <c r="H226" s="113" t="b">
        <v>0</v>
      </c>
      <c r="I226" s="113"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3" t="b">
        <v>0</v>
      </c>
      <c r="H227" s="113" t="b">
        <v>0</v>
      </c>
      <c r="I227" s="113"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3" t="b">
        <v>0</v>
      </c>
      <c r="H228" s="113" t="b">
        <v>0</v>
      </c>
      <c r="I228" s="113"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3" t="b">
        <v>0</v>
      </c>
      <c r="H229" s="113" t="b">
        <v>0</v>
      </c>
      <c r="I229" s="113"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263</v>
      </c>
      <c r="B1" s="38" t="s">
        <v>264</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265</v>
      </c>
      <c r="B1" s="14" t="s">
        <v>266</v>
      </c>
    </row>
    <row r="2">
      <c r="A2" s="14" t="s">
        <v>267</v>
      </c>
      <c r="B2" s="14" t="s">
        <v>268</v>
      </c>
    </row>
    <row r="3">
      <c r="A3" s="14" t="s">
        <v>269</v>
      </c>
      <c r="B3" s="14" t="s">
        <v>270</v>
      </c>
    </row>
    <row r="4">
      <c r="A4" s="14" t="s">
        <v>271</v>
      </c>
      <c r="B4" s="14" t="s">
        <v>272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273</v>
      </c>
      <c r="B1" s="16" t="s">
        <v>182</v>
      </c>
      <c r="C1" s="16" t="s">
        <v>274</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4" t="str">
        <f>IFERROR(__xludf.DUMMYFUNCTION("""COMPUTED_VALUE"""),"The Heroes of Spira")</f>
        <v>The Heroes of Spira</v>
      </c>
      <c r="B2" s="115"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4" t="str">
        <f>IFERROR(__xludf.DUMMYFUNCTION("""COMPUTED_VALUE"""),"Extra Treasure")</f>
        <v>Extra Treasure</v>
      </c>
      <c r="D2" s="116" t="str">
        <f>IFERROR(__xludf.DUMMYFUNCTION("""COMPUTED_VALUE"""),"When rolling for loot Double what you get from your first roll for Mob loot.")</f>
        <v>When rolling for loot Double what you get from your first roll for Mob loot.</v>
      </c>
      <c r="E2" s="116"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4" t="str">
        <f>IFERROR(__xludf.DUMMYFUNCTION("""COMPUTED_VALUE"""),"The Cult of Dreadful")</f>
        <v>The Cult of Dreadful</v>
      </c>
      <c r="B3" s="115"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4" t="str">
        <f>IFERROR(__xludf.DUMMYFUNCTION("""COMPUTED_VALUE"""),"Lesser Pain")</f>
        <v>Lesser Pain</v>
      </c>
      <c r="D3" s="116" t="str">
        <f>IFERROR(__xludf.DUMMYFUNCTION("""COMPUTED_VALUE"""),"Half the HP costs for Blood Spells, and Half the SP costs for Dark, Chaos, and Voodoo Spells.")</f>
        <v>Half the HP costs for Blood Spells, and Half the SP costs for Dark, Chaos, and Voodoo Spells.</v>
      </c>
      <c r="E3" s="116"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4" t="str">
        <f>IFERROR(__xludf.DUMMYFUNCTION("""COMPUTED_VALUE"""),"The Storm Shamans")</f>
        <v>The Storm Shamans</v>
      </c>
      <c r="B4" s="115"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4" t="str">
        <f>IFERROR(__xludf.DUMMYFUNCTION("""COMPUTED_VALUE"""),"Storming Vengeance ")</f>
        <v>Storming Vengeance </v>
      </c>
      <c r="D4" s="116" t="str">
        <f>IFERROR(__xludf.DUMMYFUNCTION("""COMPUTED_VALUE"""),"+5 evasion and mobility if the weather is stormy.")</f>
        <v>+5 evasion and mobility if the weather is stormy.</v>
      </c>
      <c r="E4" s="116"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4" t="str">
        <f>IFERROR(__xludf.DUMMYFUNCTION("""COMPUTED_VALUE"""),"The Graceful Defenders")</f>
        <v>The Graceful Defenders</v>
      </c>
      <c r="B5" s="115"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4" t="str">
        <f>IFERROR(__xludf.DUMMYFUNCTION("""COMPUTED_VALUE"""),"Defending Bond")</f>
        <v>Defending Bond</v>
      </c>
      <c r="D5" s="116"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6"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4" t="str">
        <f>IFERROR(__xludf.DUMMYFUNCTION("""COMPUTED_VALUE"""),"The Guardians of The Forge")</f>
        <v>The Guardians of The Forge</v>
      </c>
      <c r="B6" s="115"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4" t="str">
        <f>IFERROR(__xludf.DUMMYFUNCTION("""COMPUTED_VALUE"""),"Burning Might")</f>
        <v>Burning Might</v>
      </c>
      <c r="D6" s="116" t="str">
        <f>IFERROR(__xludf.DUMMYFUNCTION("""COMPUTED_VALUE"""),"Burn damage dealt to enemies is doubled.")</f>
        <v>Burn damage dealt to enemies is doubled.</v>
      </c>
      <c r="E6" s="116"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4" t="str">
        <f>IFERROR(__xludf.DUMMYFUNCTION("""COMPUTED_VALUE"""),"The Soul Shepherds")</f>
        <v>The Soul Shepherds</v>
      </c>
      <c r="B7" s="115"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4" t="str">
        <f>IFERROR(__xludf.DUMMYFUNCTION("""COMPUTED_VALUE"""),"Soul Harvest")</f>
        <v>Soul Harvest</v>
      </c>
      <c r="D7" s="116" t="str">
        <f>IFERROR(__xludf.DUMMYFUNCTION("""COMPUTED_VALUE"""),"When rolling for loot and you get a soul, you get 2 of that same soul.")</f>
        <v>When rolling for loot and you get a soul, you get 2 of that same soul.</v>
      </c>
      <c r="E7" s="116"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4" t="str">
        <f>IFERROR(__xludf.DUMMYFUNCTION("""COMPUTED_VALUE"""),"The Judges of Abstara")</f>
        <v>The Judges of Abstara</v>
      </c>
      <c r="B8" s="115"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4" t="str">
        <f>IFERROR(__xludf.DUMMYFUNCTION("""COMPUTED_VALUE"""),"Threatening Stare")</f>
        <v>Threatening Stare</v>
      </c>
      <c r="D8" s="116" t="str">
        <f>IFERROR(__xludf.DUMMYFUNCTION("""COMPUTED_VALUE"""),"+5 permanent Intimidation.")</f>
        <v>+5 permanent Intimidation.</v>
      </c>
      <c r="E8" s="116"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4" t="str">
        <f>IFERROR(__xludf.DUMMYFUNCTION("""COMPUTED_VALUE"""),"The Gods of The Sea")</f>
        <v>The Gods of The Sea</v>
      </c>
      <c r="B9" s="115"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4" t="str">
        <f>IFERROR(__xludf.DUMMYFUNCTION("""COMPUTED_VALUE"""),"Healing Fountain")</f>
        <v>Healing Fountain</v>
      </c>
      <c r="D9" s="116" t="str">
        <f>IFERROR(__xludf.DUMMYFUNCTION("""COMPUTED_VALUE"""),"When dealing water damage to an enemy, Your HP and SP will be restored equal to 0.5% of the damage dealt ")</f>
        <v>When dealing water damage to an enemy, Your HP and SP will be restored equal to 0.5% of the damage dealt </v>
      </c>
      <c r="E9" s="116"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4" t="str">
        <f>IFERROR(__xludf.DUMMYFUNCTION("""COMPUTED_VALUE"""),"The God's Quiver")</f>
        <v>The God's Quiver</v>
      </c>
      <c r="B10" s="115"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4" t="str">
        <f>IFERROR(__xludf.DUMMYFUNCTION("""COMPUTED_VALUE"""),"Natures Blessing")</f>
        <v>Natures Blessing</v>
      </c>
      <c r="D10" s="116" t="str">
        <f>IFERROR(__xludf.DUMMYFUNCTION("""COMPUTED_VALUE"""),"When dealing nature damage to an enemy, Your HP and SP will be restored equal to half of the damage dealt ")</f>
        <v>When dealing nature damage to an enemy, Your HP and SP will be restored equal to half of the damage dealt </v>
      </c>
      <c r="E10" s="116"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4" t="str">
        <f>IFERROR(__xludf.DUMMYFUNCTION("""COMPUTED_VALUE"""),"The Exiled Ones")</f>
        <v>The Exiled Ones</v>
      </c>
      <c r="B11" s="115"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4" t="str">
        <f>IFERROR(__xludf.DUMMYFUNCTION("""COMPUTED_VALUE"""),"Panic")</f>
        <v>Panic</v>
      </c>
      <c r="D11" s="116" t="str">
        <f>IFERROR(__xludf.DUMMYFUNCTION("""COMPUTED_VALUE"""),"When adventuring alone or partaking in a party with 3 or less party members, your fleeing rolls are doubled.")</f>
        <v>When adventuring alone or partaking in a party with 3 or less party members, your fleeing rolls are doubled.</v>
      </c>
      <c r="E11" s="116"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4" t="str">
        <f>IFERROR(__xludf.DUMMYFUNCTION("""COMPUTED_VALUE"""),"The Astrologist's")</f>
        <v>The Astrologist's</v>
      </c>
      <c r="B12" s="115"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4" t="str">
        <f>IFERROR(__xludf.DUMMYFUNCTION("""COMPUTED_VALUE"""),"The Universe of Spira")</f>
        <v>The Universe of Spira</v>
      </c>
      <c r="D12" s="116" t="str">
        <f>IFERROR(__xludf.DUMMYFUNCTION("""COMPUTED_VALUE"""),"Astral Spell/Power Attacks will also deal X Celestial damage where X is equal to your accuracy.")</f>
        <v>Astral Spell/Power Attacks will also deal X Celestial damage where X is equal to your accuracy.</v>
      </c>
      <c r="E12" s="116"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4" t="str">
        <f>IFERROR(__xludf.DUMMYFUNCTION("""COMPUTED_VALUE"""),"The Choir of Dionysus")</f>
        <v>The Choir of Dionysus</v>
      </c>
      <c r="B13" s="115"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4" t="str">
        <f>IFERROR(__xludf.DUMMYFUNCTION("""COMPUTED_VALUE"""),"Preaching to the Choir")</f>
        <v>Preaching to the Choir</v>
      </c>
      <c r="D13" s="116" t="str">
        <f>IFERROR(__xludf.DUMMYFUNCTION("""COMPUTED_VALUE"""),"Buffs targetting an ally or self are guaranteed to succeed")</f>
        <v>Buffs targetting an ally or self are guaranteed to succeed</v>
      </c>
      <c r="E13" s="116"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4" t="str">
        <f>IFERROR(__xludf.DUMMYFUNCTION("""COMPUTED_VALUE"""),"The Abbott's")</f>
        <v>The Abbott's</v>
      </c>
      <c r="B14" s="115"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4" t="str">
        <f>IFERROR(__xludf.DUMMYFUNCTION("""COMPUTED_VALUE"""),"Elemental Chi")</f>
        <v>Elemental Chi</v>
      </c>
      <c r="D14" s="116" t="str">
        <f>IFERROR(__xludf.DUMMYFUNCTION("""COMPUTED_VALUE"""),"Take half damage from Fire, Water, Storm, Earth, and Nature.")</f>
        <v>Take half damage from Fire, Water, Storm, Earth, and Nature.</v>
      </c>
      <c r="E14" s="116"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4" t="str">
        <f>IFERROR(__xludf.DUMMYFUNCTION("""COMPUTED_VALUE"""),"Harbingers of The Voidwoken")</f>
        <v>Harbingers of The Voidwoken</v>
      </c>
      <c r="B15" s="115"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4" t="str">
        <f>IFERROR(__xludf.DUMMYFUNCTION("""COMPUTED_VALUE"""),"Harbinger's Bloodlust")</f>
        <v>Harbinger's Bloodlust</v>
      </c>
      <c r="D15" s="116"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6"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4"/>
      <c r="B16" s="114"/>
      <c r="C16" s="114"/>
      <c r="D16" s="114"/>
      <c r="E16" s="114"/>
      <c r="F16" s="16"/>
      <c r="G16" s="16"/>
      <c r="H16" s="16"/>
      <c r="I16" s="16"/>
      <c r="J16" s="16"/>
      <c r="K16" s="16"/>
      <c r="L16" s="16"/>
      <c r="M16" s="16"/>
      <c r="N16" s="16"/>
      <c r="O16" s="16"/>
      <c r="P16" s="16"/>
      <c r="Q16" s="16"/>
      <c r="R16" s="16"/>
      <c r="S16" s="16"/>
      <c r="T16" s="16"/>
      <c r="U16" s="16"/>
      <c r="V16" s="16"/>
      <c r="W16" s="16"/>
      <c r="X16" s="16"/>
      <c r="Y16" s="16"/>
      <c r="Z16" s="16"/>
    </row>
    <row r="17">
      <c r="A17" s="114"/>
      <c r="B17" s="114"/>
      <c r="C17" s="114"/>
      <c r="D17" s="114"/>
      <c r="E17" s="114"/>
      <c r="F17" s="16"/>
      <c r="G17" s="16"/>
      <c r="H17" s="16"/>
      <c r="I17" s="16"/>
      <c r="J17" s="16"/>
      <c r="K17" s="16"/>
      <c r="L17" s="16"/>
      <c r="M17" s="16"/>
      <c r="N17" s="16"/>
      <c r="O17" s="16"/>
      <c r="P17" s="16"/>
      <c r="Q17" s="16"/>
      <c r="R17" s="16"/>
      <c r="S17" s="16"/>
      <c r="T17" s="16"/>
      <c r="U17" s="16"/>
      <c r="V17" s="16"/>
      <c r="W17" s="16"/>
      <c r="X17" s="16"/>
      <c r="Y17" s="16"/>
      <c r="Z17" s="16"/>
    </row>
    <row r="18">
      <c r="A18" s="114"/>
      <c r="B18" s="114"/>
      <c r="C18" s="114"/>
      <c r="D18" s="114"/>
      <c r="E18" s="114"/>
      <c r="F18" s="16"/>
      <c r="G18" s="16"/>
      <c r="H18" s="16"/>
      <c r="I18" s="16"/>
      <c r="J18" s="16"/>
      <c r="K18" s="16"/>
      <c r="L18" s="16"/>
      <c r="M18" s="16"/>
      <c r="N18" s="16"/>
      <c r="O18" s="16"/>
      <c r="P18" s="16"/>
      <c r="Q18" s="16"/>
      <c r="R18" s="16"/>
      <c r="S18" s="16"/>
      <c r="T18" s="16"/>
      <c r="U18" s="16"/>
      <c r="V18" s="16"/>
      <c r="W18" s="16"/>
      <c r="X18" s="16"/>
      <c r="Y18" s="16"/>
      <c r="Z18" s="16"/>
    </row>
    <row r="19">
      <c r="A19" s="114"/>
      <c r="B19" s="114"/>
      <c r="C19" s="114"/>
      <c r="D19" s="114"/>
      <c r="E19" s="114"/>
      <c r="F19" s="16"/>
      <c r="G19" s="16"/>
      <c r="H19" s="16"/>
      <c r="I19" s="16"/>
      <c r="J19" s="16"/>
      <c r="K19" s="16"/>
      <c r="L19" s="16"/>
      <c r="M19" s="16"/>
      <c r="N19" s="16"/>
      <c r="O19" s="16"/>
      <c r="P19" s="16"/>
      <c r="Q19" s="16"/>
      <c r="R19" s="16"/>
      <c r="S19" s="16"/>
      <c r="T19" s="16"/>
      <c r="U19" s="16"/>
      <c r="V19" s="16"/>
      <c r="W19" s="16"/>
      <c r="X19" s="16"/>
      <c r="Y19" s="16"/>
      <c r="Z19" s="16"/>
    </row>
    <row r="20">
      <c r="A20" s="114"/>
      <c r="B20" s="114"/>
      <c r="C20" s="114"/>
      <c r="D20" s="114"/>
      <c r="E20" s="114"/>
      <c r="F20" s="16"/>
      <c r="G20" s="16"/>
      <c r="H20" s="16"/>
      <c r="I20" s="16"/>
      <c r="J20" s="16"/>
      <c r="K20" s="16"/>
      <c r="L20" s="16"/>
      <c r="M20" s="16"/>
      <c r="N20" s="16"/>
      <c r="O20" s="16"/>
      <c r="P20" s="16"/>
      <c r="Q20" s="16"/>
      <c r="R20" s="16"/>
      <c r="S20" s="16"/>
      <c r="T20" s="16"/>
      <c r="U20" s="16"/>
      <c r="V20" s="16"/>
      <c r="W20" s="16"/>
      <c r="X20" s="16"/>
      <c r="Y20" s="16"/>
      <c r="Z20" s="16"/>
    </row>
    <row r="21">
      <c r="A21" s="114"/>
      <c r="B21" s="114"/>
      <c r="C21" s="114"/>
      <c r="D21" s="114"/>
      <c r="E21" s="114"/>
      <c r="F21" s="16"/>
      <c r="G21" s="16"/>
      <c r="H21" s="16"/>
      <c r="I21" s="16"/>
      <c r="J21" s="16"/>
      <c r="K21" s="16"/>
      <c r="L21" s="16"/>
      <c r="M21" s="16"/>
      <c r="N21" s="16"/>
      <c r="O21" s="16"/>
      <c r="P21" s="16"/>
      <c r="Q21" s="16"/>
      <c r="R21" s="16"/>
      <c r="S21" s="16"/>
      <c r="T21" s="16"/>
      <c r="U21" s="16"/>
      <c r="V21" s="16"/>
      <c r="W21" s="16"/>
      <c r="X21" s="16"/>
      <c r="Y21" s="16"/>
      <c r="Z21" s="16"/>
    </row>
    <row r="22">
      <c r="A22" s="114"/>
      <c r="B22" s="114"/>
      <c r="C22" s="114"/>
      <c r="D22" s="114"/>
      <c r="E22" s="114"/>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7">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8"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9"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9">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9">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9">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9">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9">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9">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9">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9">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9">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9">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9">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9">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9">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9">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9">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9">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9">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9">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9">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9">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9">
        <f>IFERROR(__xludf.DUMMYFUNCTION("""COMPUTED_VALUE"""),9.0)</f>
        <v>9</v>
      </c>
      <c r="C22" s="118">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9">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9">
        <f>IFERROR(__xludf.DUMMYFUNCTION("""COMPUTED_VALUE"""),9.0)</f>
        <v>9</v>
      </c>
      <c r="C24" s="118">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9">
        <f>IFERROR(__xludf.DUMMYFUNCTION("""COMPUTED_VALUE"""),9.0)</f>
        <v>9</v>
      </c>
      <c r="C25" s="118">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9">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9">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9">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9">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9">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9">
        <f>IFERROR(__xludf.DUMMYFUNCTION("""COMPUTED_VALUE"""),9.0)</f>
        <v>9</v>
      </c>
      <c r="C31" s="118">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9">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9">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9">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9">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9">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9">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9">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9">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9">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9">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9">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9">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9">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9">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9">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9">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9">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9">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9">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9">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9">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9">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9">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9">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9">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9">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9">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9">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9">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9">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9">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9">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9">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9">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9">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9">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9">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9">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9">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9">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9">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9">
        <f>IFERROR(__xludf.DUMMYFUNCTION("""COMPUTED_VALUE"""),1.0)</f>
        <v>1</v>
      </c>
      <c r="C73" s="120"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9">
        <f>IFERROR(__xludf.DUMMYFUNCTION("""COMPUTED_VALUE"""),9.0)</f>
        <v>9</v>
      </c>
      <c r="C74" s="118">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9">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9">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9">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9">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9">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9">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9">
        <f>IFERROR(__xludf.DUMMYFUNCTION("""COMPUTED_VALUE"""),9.0)</f>
        <v>9</v>
      </c>
      <c r="C81" s="118">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9">
        <f>IFERROR(__xludf.DUMMYFUNCTION("""COMPUTED_VALUE"""),9.0)</f>
        <v>9</v>
      </c>
      <c r="C82" s="118">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9">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9">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9">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9">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9">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9">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9">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9">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9">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9">
        <f>IFERROR(__xludf.DUMMYFUNCTION("""COMPUTED_VALUE"""),9.0)</f>
        <v>9</v>
      </c>
      <c r="C92" s="118">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9">
        <f>IFERROR(__xludf.DUMMYFUNCTION("""COMPUTED_VALUE"""),9.0)</f>
        <v>9</v>
      </c>
      <c r="C93" s="118">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9">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9">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9">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9">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9">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9">
        <f>IFERROR(__xludf.DUMMYFUNCTION("""COMPUTED_VALUE"""),9.0)</f>
        <v>9</v>
      </c>
      <c r="C99" s="118">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9">
        <f>IFERROR(__xludf.DUMMYFUNCTION("""COMPUTED_VALUE"""),9.0)</f>
        <v>9</v>
      </c>
      <c r="C100" s="118">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9">
        <f>IFERROR(__xludf.DUMMYFUNCTION("""COMPUTED_VALUE"""),9.0)</f>
        <v>9</v>
      </c>
      <c r="C101" s="118">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9">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9">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9">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9">
        <f>IFERROR(__xludf.DUMMYFUNCTION("""COMPUTED_VALUE"""),9.0)</f>
        <v>9</v>
      </c>
      <c r="C105" s="118">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9">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9">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9">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9">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9">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9">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9">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9">
        <f>IFERROR(__xludf.DUMMYFUNCTION("""COMPUTED_VALUE"""),9.0)</f>
        <v>9</v>
      </c>
      <c r="C113" s="118">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9">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9">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9">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9">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9">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9">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9">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9">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9">
        <f>IFERROR(__xludf.DUMMYFUNCTION("""COMPUTED_VALUE"""),9.0)</f>
        <v>9</v>
      </c>
      <c r="C122" s="118">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9">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9">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9">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9">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9">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9">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9">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9">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9">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9">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9">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9">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9">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9">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9">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9">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9">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9">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9">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9">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9">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9">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9">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9">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9">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9">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9">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9">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9">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9">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9">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9">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9">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9">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9">
        <f>IFERROR(__xludf.DUMMYFUNCTION("""COMPUTED_VALUE"""),9.0)</f>
        <v>9</v>
      </c>
      <c r="C158" s="118">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9">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9">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9">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9">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9">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9">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9">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9">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9">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9">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9">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9">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9">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9">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9">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9">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9">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9">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9">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9">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9">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9">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9">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9">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9">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9">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9">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9">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9">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9">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9">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9">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9">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9">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9">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9">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9">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9">
        <f>IFERROR(__xludf.DUMMYFUNCTION("""COMPUTED_VALUE"""),0.0)</f>
        <v>0</v>
      </c>
      <c r="C196" s="118">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9">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9">
        <f>IFERROR(__xludf.DUMMYFUNCTION("""COMPUTED_VALUE"""),0.0)</f>
        <v>0</v>
      </c>
      <c r="C198" s="118">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9">
        <f>IFERROR(__xludf.DUMMYFUNCTION("""COMPUTED_VALUE"""),9.0)</f>
        <v>9</v>
      </c>
      <c r="C199" s="118">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9">
        <f>IFERROR(__xludf.DUMMYFUNCTION("""COMPUTED_VALUE"""),1.0)</f>
        <v>1</v>
      </c>
      <c r="C200" s="118">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9">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9">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9">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9">
        <f>IFERROR(__xludf.DUMMYFUNCTION("""COMPUTED_VALUE"""),1.0)</f>
        <v>1</v>
      </c>
      <c r="C204" s="118">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9">
        <f>IFERROR(__xludf.DUMMYFUNCTION("""COMPUTED_VALUE"""),1.0)</f>
        <v>1</v>
      </c>
      <c r="C205" s="118">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9">
        <f>IFERROR(__xludf.DUMMYFUNCTION("""COMPUTED_VALUE"""),1.0)</f>
        <v>1</v>
      </c>
      <c r="C206" s="118">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9">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9">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9">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9">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9">
        <f>IFERROR(__xludf.DUMMYFUNCTION("""COMPUTED_VALUE"""),1.0)</f>
        <v>1</v>
      </c>
      <c r="C211" s="118">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9">
        <f>IFERROR(__xludf.DUMMYFUNCTION("""COMPUTED_VALUE"""),9.0)</f>
        <v>9</v>
      </c>
      <c r="C212" s="118">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9">
        <f>IFERROR(__xludf.DUMMYFUNCTION("""COMPUTED_VALUE"""),1.0)</f>
        <v>1</v>
      </c>
      <c r="C213" s="118">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9">
        <f>IFERROR(__xludf.DUMMYFUNCTION("""COMPUTED_VALUE"""),1.0)</f>
        <v>1</v>
      </c>
      <c r="C214" s="118">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9">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9">
        <f>IFERROR(__xludf.DUMMYFUNCTION("""COMPUTED_VALUE"""),1.0)</f>
        <v>1</v>
      </c>
      <c r="C216" s="118">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9">
        <f>IFERROR(__xludf.DUMMYFUNCTION("""COMPUTED_VALUE"""),1.0)</f>
        <v>1</v>
      </c>
      <c r="C217" s="118">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9">
        <f>IFERROR(__xludf.DUMMYFUNCTION("""COMPUTED_VALUE"""),9.0)</f>
        <v>9</v>
      </c>
      <c r="C218" s="118">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9">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9">
        <f>IFERROR(__xludf.DUMMYFUNCTION("""COMPUTED_VALUE"""),1.0)</f>
        <v>1</v>
      </c>
      <c r="C220" s="118">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9">
        <f>IFERROR(__xludf.DUMMYFUNCTION("""COMPUTED_VALUE"""),9.0)</f>
        <v>9</v>
      </c>
      <c r="C221" s="118">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9">
        <f>IFERROR(__xludf.DUMMYFUNCTION("""COMPUTED_VALUE"""),1.0)</f>
        <v>1</v>
      </c>
      <c r="C222" s="118">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9">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9">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9">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9">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9">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9">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9">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9">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9">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9">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9">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9">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9">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9">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9">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9">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9">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9">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9">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9">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9">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9">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9">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9">
        <f>IFERROR(__xludf.DUMMYFUNCTION("""COMPUTED_VALUE"""),9.0)</f>
        <v>9</v>
      </c>
      <c r="C246" s="120"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9">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9">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9">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9">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9">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9">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9">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9">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9">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9">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9">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9">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9">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9">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9">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9">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9">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9">
        <f>IFERROR(__xludf.DUMMYFUNCTION("""COMPUTED_VALUE"""),9.0)</f>
        <v>9</v>
      </c>
      <c r="C264" s="118">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9">
        <f>IFERROR(__xludf.DUMMYFUNCTION("""COMPUTED_VALUE"""),9.0)</f>
        <v>9</v>
      </c>
      <c r="C265" s="118">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9">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9">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9">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9">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9">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9">
        <f>IFERROR(__xludf.DUMMYFUNCTION("""COMPUTED_VALUE"""),9.0)</f>
        <v>9</v>
      </c>
      <c r="C272" s="118">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9">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9">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9">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9">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9">
        <f>IFERROR(__xludf.DUMMYFUNCTION("""COMPUTED_VALUE"""),1.0)</f>
        <v>1</v>
      </c>
      <c r="C277" s="118">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9">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9">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9">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9">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9">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9">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9">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9">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9">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9">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9">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9">
        <f>IFERROR(__xludf.DUMMYFUNCTION("""COMPUTED_VALUE"""),1.0)</f>
        <v>1</v>
      </c>
      <c r="C289" s="118">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9">
        <f>IFERROR(__xludf.DUMMYFUNCTION("""COMPUTED_VALUE"""),9.0)</f>
        <v>9</v>
      </c>
      <c r="C290" s="118">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9">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9">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9">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9">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9">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9">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9">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9">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9">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9">
        <f>IFERROR(__xludf.DUMMYFUNCTION("""COMPUTED_VALUE"""),4.0)</f>
        <v>4</v>
      </c>
      <c r="C300" s="118">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9">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9">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9">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9">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9">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9">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9">
        <f>IFERROR(__xludf.DUMMYFUNCTION("""COMPUTED_VALUE"""),9.0)</f>
        <v>9</v>
      </c>
      <c r="C307" s="118">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9">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9">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9">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9">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9">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9">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9">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9">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9">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9">
        <f>IFERROR(__xludf.DUMMYFUNCTION("""COMPUTED_VALUE"""),1.0)</f>
        <v>1</v>
      </c>
      <c r="C317" s="118">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9">
        <f>IFERROR(__xludf.DUMMYFUNCTION("""COMPUTED_VALUE"""),1.0)</f>
        <v>1</v>
      </c>
      <c r="C318" s="118">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9">
        <f>IFERROR(__xludf.DUMMYFUNCTION("""COMPUTED_VALUE"""),1.0)</f>
        <v>1</v>
      </c>
      <c r="C319" s="118">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9">
        <f>IFERROR(__xludf.DUMMYFUNCTION("""COMPUTED_VALUE"""),1.0)</f>
        <v>1</v>
      </c>
      <c r="C320" s="118">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9">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9">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9">
        <f>IFERROR(__xludf.DUMMYFUNCTION("""COMPUTED_VALUE"""),1.0)</f>
        <v>1</v>
      </c>
      <c r="C323" s="118">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9">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9">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9">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9">
        <f>IFERROR(__xludf.DUMMYFUNCTION("""COMPUTED_VALUE"""),1.0)</f>
        <v>1</v>
      </c>
      <c r="C327" s="118">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9">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9">
        <f>IFERROR(__xludf.DUMMYFUNCTION("""COMPUTED_VALUE"""),1.0)</f>
        <v>1</v>
      </c>
      <c r="C329" s="118">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9">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9">
        <f>IFERROR(__xludf.DUMMYFUNCTION("""COMPUTED_VALUE"""),1.0)</f>
        <v>1</v>
      </c>
      <c r="C331" s="118">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9">
        <f>IFERROR(__xludf.DUMMYFUNCTION("""COMPUTED_VALUE"""),1.0)</f>
        <v>1</v>
      </c>
      <c r="C332" s="118">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9">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9">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9">
        <f>IFERROR(__xludf.DUMMYFUNCTION("""COMPUTED_VALUE"""),1.0)</f>
        <v>1</v>
      </c>
      <c r="C335" s="118">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9">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9">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9">
        <f>IFERROR(__xludf.DUMMYFUNCTION("""COMPUTED_VALUE"""),1.0)</f>
        <v>1</v>
      </c>
      <c r="C338" s="118">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9">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9">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9">
        <f>IFERROR(__xludf.DUMMYFUNCTION("""COMPUTED_VALUE"""),1.0)</f>
        <v>1</v>
      </c>
      <c r="C341" s="118">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9">
        <f>IFERROR(__xludf.DUMMYFUNCTION("""COMPUTED_VALUE"""),1.0)</f>
        <v>1</v>
      </c>
      <c r="C342" s="118">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9">
        <f>IFERROR(__xludf.DUMMYFUNCTION("""COMPUTED_VALUE"""),1.0)</f>
        <v>1</v>
      </c>
      <c r="C343" s="118">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9">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9">
        <f>IFERROR(__xludf.DUMMYFUNCTION("""COMPUTED_VALUE"""),9.0)</f>
        <v>9</v>
      </c>
      <c r="C345" s="118">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9">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9">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9">
        <f>IFERROR(__xludf.DUMMYFUNCTION("""COMPUTED_VALUE"""),1.0)</f>
        <v>1</v>
      </c>
      <c r="C348" s="118">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9">
        <f>IFERROR(__xludf.DUMMYFUNCTION("""COMPUTED_VALUE"""),1.0)</f>
        <v>1</v>
      </c>
      <c r="C349" s="118">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9">
        <f>IFERROR(__xludf.DUMMYFUNCTION("""COMPUTED_VALUE"""),1.0)</f>
        <v>1</v>
      </c>
      <c r="C350" s="118">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9">
        <f>IFERROR(__xludf.DUMMYFUNCTION("""COMPUTED_VALUE"""),1.0)</f>
        <v>1</v>
      </c>
      <c r="C351" s="118">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9">
        <f>IFERROR(__xludf.DUMMYFUNCTION("""COMPUTED_VALUE"""),1.0)</f>
        <v>1</v>
      </c>
      <c r="C352" s="118">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9">
        <f>IFERROR(__xludf.DUMMYFUNCTION("""COMPUTED_VALUE"""),1.0)</f>
        <v>1</v>
      </c>
      <c r="C353" s="118">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9">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9">
        <f>IFERROR(__xludf.DUMMYFUNCTION("""COMPUTED_VALUE"""),1.0)</f>
        <v>1</v>
      </c>
      <c r="C355" s="118">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9">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9">
        <f>IFERROR(__xludf.DUMMYFUNCTION("""COMPUTED_VALUE"""),1.0)</f>
        <v>1</v>
      </c>
      <c r="C357" s="118">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9">
        <f>IFERROR(__xludf.DUMMYFUNCTION("""COMPUTED_VALUE"""),1.0)</f>
        <v>1</v>
      </c>
      <c r="C358" s="118">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9">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9">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9">
        <f>IFERROR(__xludf.DUMMYFUNCTION("""COMPUTED_VALUE"""),1.0)</f>
        <v>1</v>
      </c>
      <c r="C361" s="118">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9">
        <f>IFERROR(__xludf.DUMMYFUNCTION("""COMPUTED_VALUE"""),1.0)</f>
        <v>1</v>
      </c>
      <c r="C362" s="118">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9">
        <f>IFERROR(__xludf.DUMMYFUNCTION("""COMPUTED_VALUE"""),1.0)</f>
        <v>1</v>
      </c>
      <c r="C363" s="118">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9">
        <f>IFERROR(__xludf.DUMMYFUNCTION("""COMPUTED_VALUE"""),9.0)</f>
        <v>9</v>
      </c>
      <c r="C364" s="118">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9">
        <f>IFERROR(__xludf.DUMMYFUNCTION("""COMPUTED_VALUE"""),9.0)</f>
        <v>9</v>
      </c>
      <c r="C365" s="118">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9">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9">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9">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9">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9">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9">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9">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9">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9">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9">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9">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9">
        <f>IFERROR(__xludf.DUMMYFUNCTION("""COMPUTED_VALUE"""),9.0)</f>
        <v>9</v>
      </c>
      <c r="C377" s="118">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9">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9">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9">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9">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9">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9">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9">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9">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9">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9">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9">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9">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9">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9">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9">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9">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9">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9">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9">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9">
        <f>IFERROR(__xludf.DUMMYFUNCTION("""COMPUTED_VALUE"""),1.0)</f>
        <v>1</v>
      </c>
      <c r="C397" s="118">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9">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9">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9">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9">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9">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9">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9">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9">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9">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9">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9">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9">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9">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9">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9">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9">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9">
        <f>IFERROR(__xludf.DUMMYFUNCTION("""COMPUTED_VALUE"""),9.0)</f>
        <v>9</v>
      </c>
      <c r="C414" s="118">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9">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9">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9">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9">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9">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9">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9">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9">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9">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9">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9">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9">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9">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9">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9">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9">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9">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9">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9">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9">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9">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9">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9">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9">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9">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9">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9">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9">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9">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9">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9">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9">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9">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9">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9">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9">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9">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9">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9">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9">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9">
        <f>IFERROR(__xludf.DUMMYFUNCTION("""COMPUTED_VALUE"""),9.0)</f>
        <v>9</v>
      </c>
      <c r="C455" s="118">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9">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9">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9">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9">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9">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9">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9">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9">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9">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9">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9">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9">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9">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9">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9">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9">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9">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9">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9">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9">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9">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9">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9">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9">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9">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9">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9">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9">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9">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9">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9">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9">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9">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9">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9">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9">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9">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9">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9">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9">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9">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9">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9">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9">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9">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9">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9">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9">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9">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9">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9">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9">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9">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9">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9">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9">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9">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9">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9">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9">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9">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9">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9">
        <f>IFERROR(__xludf.DUMMYFUNCTION("""COMPUTED_VALUE"""),1.0)</f>
        <v>1</v>
      </c>
      <c r="C518" s="118">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9">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9">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9">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9">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9">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9">
        <f>IFERROR(__xludf.DUMMYFUNCTION("""COMPUTED_VALUE"""),9.0)</f>
        <v>9</v>
      </c>
      <c r="C524" s="118">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9">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9">
        <f>IFERROR(__xludf.DUMMYFUNCTION("""COMPUTED_VALUE"""),9.0)</f>
        <v>9</v>
      </c>
      <c r="C526" s="118">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9">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9">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9">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9">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9">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9">
        <f>IFERROR(__xludf.DUMMYFUNCTION("""COMPUTED_VALUE"""),9.0)</f>
        <v>9</v>
      </c>
      <c r="C532" s="118">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9">
        <f>IFERROR(__xludf.DUMMYFUNCTION("""COMPUTED_VALUE"""),9.0)</f>
        <v>9</v>
      </c>
      <c r="C533" s="118">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9">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9">
        <f>IFERROR(__xludf.DUMMYFUNCTION("""COMPUTED_VALUE"""),1.0)</f>
        <v>1</v>
      </c>
      <c r="C535" s="118">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9">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9">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9">
        <f>IFERROR(__xludf.DUMMYFUNCTION("""COMPUTED_VALUE"""),9.0)</f>
        <v>9</v>
      </c>
      <c r="C538" s="118">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9">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9">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9">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9">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9">
        <f>IFERROR(__xludf.DUMMYFUNCTION("""COMPUTED_VALUE"""),9.0)</f>
        <v>9</v>
      </c>
      <c r="C543" s="118">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9">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9">
        <f>IFERROR(__xludf.DUMMYFUNCTION("""COMPUTED_VALUE"""),1.0)</f>
        <v>1</v>
      </c>
      <c r="C545" s="118">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9">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9">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9">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9">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9">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9">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9">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9">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9">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9">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9">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9">
        <f>IFERROR(__xludf.DUMMYFUNCTION("""COMPUTED_VALUE"""),9.0)</f>
        <v>9</v>
      </c>
      <c r="C557" s="118">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9">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9">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9">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9">
        <f>IFERROR(__xludf.DUMMYFUNCTION("""COMPUTED_VALUE"""),9.0)</f>
        <v>9</v>
      </c>
      <c r="C561" s="118">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9">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9">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9">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9">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9">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9">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9">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9">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9">
        <f>IFERROR(__xludf.DUMMYFUNCTION("""COMPUTED_VALUE"""),1.0)</f>
        <v>1</v>
      </c>
      <c r="C570" s="118">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7">
        <f>IFERROR(__xludf.DUMMYFUNCTION("""COMPUTED_VALUE"""),1900000.0)</f>
        <v>1900000</v>
      </c>
      <c r="G2" s="16" t="str">
        <f>IFERROR(__xludf.DUMMYFUNCTION("""COMPUTED_VALUE"""),"DEF")</f>
        <v>DEF</v>
      </c>
      <c r="H2" s="118">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7">
        <f>IFERROR(__xludf.DUMMYFUNCTION("""COMPUTED_VALUE"""),1900000.0)</f>
        <v>1900000</v>
      </c>
      <c r="G3" s="16" t="str">
        <f>IFERROR(__xludf.DUMMYFUNCTION("""COMPUTED_VALUE"""),"DMG")</f>
        <v>DMG</v>
      </c>
      <c r="H3" s="118">
        <f>IFERROR(__xludf.DUMMYFUNCTION("""COMPUTED_VALUE"""),2500.0)</f>
        <v>2500</v>
      </c>
      <c r="I3" s="118">
        <f>IFERROR(__xludf.DUMMYFUNCTION("""COMPUTED_VALUE"""),2500.0)</f>
        <v>2500</v>
      </c>
      <c r="J3" s="16"/>
      <c r="K3" s="16"/>
      <c r="L3" s="16"/>
      <c r="M3" s="16"/>
      <c r="N3" s="16"/>
      <c r="O3" s="118">
        <f>IFERROR(__xludf.DUMMYFUNCTION("""COMPUTED_VALUE"""),2500.0)</f>
        <v>2500</v>
      </c>
      <c r="P3" s="16"/>
      <c r="Q3" s="16"/>
      <c r="R3" s="118">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7">
        <f>IFERROR(__xludf.DUMMYFUNCTION("""COMPUTED_VALUE"""),7.98E8)</f>
        <v>798000000</v>
      </c>
      <c r="G4" s="16" t="str">
        <f>IFERROR(__xludf.DUMMYFUNCTION("""COMPUTED_VALUE"""),"DMG")</f>
        <v>DMG</v>
      </c>
      <c r="H4" s="118">
        <f>IFERROR(__xludf.DUMMYFUNCTION("""COMPUTED_VALUE"""),100000.0)</f>
        <v>100000</v>
      </c>
      <c r="I4" s="16"/>
      <c r="J4" s="16"/>
      <c r="K4" s="16"/>
      <c r="L4" s="16"/>
      <c r="M4" s="16"/>
      <c r="N4" s="16"/>
      <c r="O4" s="118">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7">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7">
        <f>IFERROR(__xludf.DUMMYFUNCTION("""COMPUTED_VALUE"""),3.16E7)</f>
        <v>31600000</v>
      </c>
      <c r="G6" s="16" t="str">
        <f>IFERROR(__xludf.DUMMYFUNCTION("""COMPUTED_VALUE"""),"DMG")</f>
        <v>DMG</v>
      </c>
      <c r="H6" s="118">
        <f>IFERROR(__xludf.DUMMYFUNCTION("""COMPUTED_VALUE"""),10000.0)</f>
        <v>10000</v>
      </c>
      <c r="I6" s="118">
        <f>IFERROR(__xludf.DUMMYFUNCTION("""COMPUTED_VALUE"""),10000.0)</f>
        <v>10000</v>
      </c>
      <c r="J6" s="16"/>
      <c r="K6" s="16"/>
      <c r="L6" s="16"/>
      <c r="M6" s="16"/>
      <c r="N6" s="118">
        <f>IFERROR(__xludf.DUMMYFUNCTION("""COMPUTED_VALUE"""),10000.0)</f>
        <v>10000</v>
      </c>
      <c r="O6" s="16"/>
      <c r="P6" s="16"/>
      <c r="Q6" s="118">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7">
        <f>IFERROR(__xludf.DUMMYFUNCTION("""COMPUTED_VALUE"""),7.14E7)</f>
        <v>71400000</v>
      </c>
      <c r="G7" s="16" t="str">
        <f>IFERROR(__xludf.DUMMYFUNCTION("""COMPUTED_VALUE"""),"DMG")</f>
        <v>DMG</v>
      </c>
      <c r="H7" s="118">
        <f>IFERROR(__xludf.DUMMYFUNCTION("""COMPUTED_VALUE"""),20000.0)</f>
        <v>20000</v>
      </c>
      <c r="I7" s="16"/>
      <c r="J7" s="16"/>
      <c r="K7" s="16"/>
      <c r="L7" s="16"/>
      <c r="M7" s="118">
        <f>IFERROR(__xludf.DUMMYFUNCTION("""COMPUTED_VALUE"""),20000.0)</f>
        <v>20000</v>
      </c>
      <c r="N7" s="118">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7">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7">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7">
        <f>IFERROR(__xludf.DUMMYFUNCTION("""COMPUTED_VALUE"""),1.77E7)</f>
        <v>17700000</v>
      </c>
      <c r="G10" s="16" t="str">
        <f>IFERROR(__xludf.DUMMYFUNCTION("""COMPUTED_VALUE"""),"DEF")</f>
        <v>DEF</v>
      </c>
      <c r="H10" s="118">
        <f>IFERROR(__xludf.DUMMYFUNCTION("""COMPUTED_VALUE"""),15000.0)</f>
        <v>15000</v>
      </c>
      <c r="I10" s="16"/>
      <c r="J10" s="16"/>
      <c r="K10" s="118">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7">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7">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7">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7">
        <f>IFERROR(__xludf.DUMMYFUNCTION("""COMPUTED_VALUE"""),7.14E7)</f>
        <v>71400000</v>
      </c>
      <c r="G14" s="16" t="str">
        <f>IFERROR(__xludf.DUMMYFUNCTION("""COMPUTED_VALUE"""),"DMG")</f>
        <v>DMG</v>
      </c>
      <c r="H14" s="118">
        <f>IFERROR(__xludf.DUMMYFUNCTION("""COMPUTED_VALUE"""),30000.0)</f>
        <v>30000</v>
      </c>
      <c r="I14" s="16"/>
      <c r="J14" s="16"/>
      <c r="K14" s="118">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7">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7">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7">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7">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7">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7">
        <f>IFERROR(__xludf.DUMMYFUNCTION("""COMPUTED_VALUE"""),1900000.0)</f>
        <v>1900000</v>
      </c>
      <c r="G20" s="16" t="str">
        <f>IFERROR(__xludf.DUMMYFUNCTION("""COMPUTED_VALUE"""),"DEF")</f>
        <v>DEF</v>
      </c>
      <c r="H20" s="118">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7">
        <f>IFERROR(__xludf.DUMMYFUNCTION("""COMPUTED_VALUE"""),3.16E7)</f>
        <v>31600000</v>
      </c>
      <c r="G21" s="16"/>
      <c r="H21" s="118">
        <f>IFERROR(__xludf.DUMMYFUNCTION("""COMPUTED_VALUE"""),20000.0)</f>
        <v>20000</v>
      </c>
      <c r="I21" s="118">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7">
        <f>IFERROR(__xludf.DUMMYFUNCTION("""COMPUTED_VALUE"""),7800000.0)</f>
        <v>7800000</v>
      </c>
      <c r="G22" s="16" t="str">
        <f>IFERROR(__xludf.DUMMYFUNCTION("""COMPUTED_VALUE"""),"DEF")</f>
        <v>DEF</v>
      </c>
      <c r="H22" s="118">
        <f>IFERROR(__xludf.DUMMYFUNCTION("""COMPUTED_VALUE"""),10000.0)</f>
        <v>10000</v>
      </c>
      <c r="I22" s="16"/>
      <c r="J22" s="16"/>
      <c r="K22" s="16"/>
      <c r="L22" s="16"/>
      <c r="M22" s="16"/>
      <c r="N22" s="16"/>
      <c r="O22" s="16"/>
      <c r="P22" s="16"/>
      <c r="Q22" s="118">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7">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7">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7">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7">
        <f>IFERROR(__xludf.DUMMYFUNCTION("""COMPUTED_VALUE"""),7800000.0)</f>
        <v>7800000</v>
      </c>
      <c r="G26" s="16" t="str">
        <f>IFERROR(__xludf.DUMMYFUNCTION("""COMPUTED_VALUE"""),"DMG")</f>
        <v>DMG</v>
      </c>
      <c r="H26" s="118">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7">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7">
        <f>IFERROR(__xludf.DUMMYFUNCTION("""COMPUTED_VALUE"""),4.485E8)</f>
        <v>448500000</v>
      </c>
      <c r="G28" s="16" t="str">
        <f>IFERROR(__xludf.DUMMYFUNCTION("""COMPUTED_VALUE"""),"DMG")</f>
        <v>DMG</v>
      </c>
      <c r="H28" s="118">
        <f>IFERROR(__xludf.DUMMYFUNCTION("""COMPUTED_VALUE"""),125000.0)</f>
        <v>125000</v>
      </c>
      <c r="I28" s="16"/>
      <c r="J28" s="16"/>
      <c r="K28" s="16"/>
      <c r="L28" s="16"/>
      <c r="M28" s="16"/>
      <c r="N28" s="16"/>
      <c r="O28" s="118">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7">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7">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7">
        <f>IFERROR(__xludf.DUMMYFUNCTION("""COMPUTED_VALUE"""),7800000.0)</f>
        <v>7800000</v>
      </c>
      <c r="G31" s="16" t="str">
        <f>IFERROR(__xludf.DUMMYFUNCTION("""COMPUTED_VALUE"""),"DMG")</f>
        <v>DMG</v>
      </c>
      <c r="H31" s="118">
        <f>IFERROR(__xludf.DUMMYFUNCTION("""COMPUTED_VALUE"""),10000.0)</f>
        <v>10000</v>
      </c>
      <c r="I31" s="118">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7">
        <f>IFERROR(__xludf.DUMMYFUNCTION("""COMPUTED_VALUE"""),7800000.0)</f>
        <v>7800000</v>
      </c>
      <c r="G32" s="16" t="str">
        <f>IFERROR(__xludf.DUMMYFUNCTION("""COMPUTED_VALUE"""),"DMG")</f>
        <v>DMG</v>
      </c>
      <c r="H32" s="118">
        <f>IFERROR(__xludf.DUMMYFUNCTION("""COMPUTED_VALUE"""),10000.0)</f>
        <v>10000</v>
      </c>
      <c r="I32" s="16"/>
      <c r="J32" s="16"/>
      <c r="K32" s="16"/>
      <c r="L32" s="16"/>
      <c r="M32" s="16"/>
      <c r="N32" s="16"/>
      <c r="O32" s="16"/>
      <c r="P32" s="16"/>
      <c r="Q32" s="16"/>
      <c r="R32" s="16"/>
      <c r="S32" s="16"/>
      <c r="T32" s="16"/>
      <c r="U32" s="16"/>
      <c r="V32" s="16"/>
      <c r="W32" s="16"/>
      <c r="X32" s="16"/>
      <c r="Y32" s="118">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7">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7">
        <f>IFERROR(__xludf.DUMMYFUNCTION("""COMPUTED_VALUE"""),1.99E8)</f>
        <v>199000000</v>
      </c>
      <c r="G34" s="16"/>
      <c r="H34" s="118">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8">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7">
        <f>IFERROR(__xludf.DUMMYFUNCTION("""COMPUTED_VALUE"""),4350000.0)</f>
        <v>4350000</v>
      </c>
      <c r="G35" s="16" t="str">
        <f>IFERROR(__xludf.DUMMYFUNCTION("""COMPUTED_VALUE"""),"DMG")</f>
        <v>DMG</v>
      </c>
      <c r="H35" s="118">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7">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7">
        <f>IFERROR(__xludf.DUMMYFUNCTION("""COMPUTED_VALUE"""),9.658E8)</f>
        <v>965800000</v>
      </c>
      <c r="G37" s="16" t="str">
        <f>IFERROR(__xludf.DUMMYFUNCTION("""COMPUTED_VALUE"""),"DMG")</f>
        <v>DMG</v>
      </c>
      <c r="H37" s="118">
        <f>IFERROR(__xludf.DUMMYFUNCTION("""COMPUTED_VALUE"""),140000.0)</f>
        <v>140000</v>
      </c>
      <c r="I37" s="16"/>
      <c r="J37" s="16"/>
      <c r="K37" s="16"/>
      <c r="L37" s="16"/>
      <c r="M37" s="16"/>
      <c r="N37" s="16"/>
      <c r="O37" s="118">
        <f>IFERROR(__xludf.DUMMYFUNCTION("""COMPUTED_VALUE"""),40000.0)</f>
        <v>40000</v>
      </c>
      <c r="P37" s="16"/>
      <c r="Q37" s="16"/>
      <c r="R37" s="118">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7">
        <f>IFERROR(__xludf.DUMMYFUNCTION("""COMPUTED_VALUE"""),4.485E8)</f>
        <v>448500000</v>
      </c>
      <c r="G38" s="16" t="str">
        <f>IFERROR(__xludf.DUMMYFUNCTION("""COMPUTED_VALUE"""),"DMG")</f>
        <v>DMG</v>
      </c>
      <c r="H38" s="118">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7">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7">
        <f>IFERROR(__xludf.DUMMYFUNCTION("""COMPUTED_VALUE"""),4.485E8)</f>
        <v>448500000</v>
      </c>
      <c r="G40" s="16" t="str">
        <f>IFERROR(__xludf.DUMMYFUNCTION("""COMPUTED_VALUE"""),"DMG")</f>
        <v>DMG</v>
      </c>
      <c r="H40" s="118">
        <f>IFERROR(__xludf.DUMMYFUNCTION("""COMPUTED_VALUE"""),100000.0)</f>
        <v>100000</v>
      </c>
      <c r="I40" s="16"/>
      <c r="J40" s="16"/>
      <c r="K40" s="16"/>
      <c r="L40" s="16"/>
      <c r="M40" s="16"/>
      <c r="N40" s="16"/>
      <c r="O40" s="16"/>
      <c r="P40" s="16"/>
      <c r="Q40" s="16"/>
      <c r="R40" s="16"/>
      <c r="S40" s="16"/>
      <c r="T40" s="16"/>
      <c r="U40" s="16"/>
      <c r="V40" s="16"/>
      <c r="W40" s="16"/>
      <c r="X40" s="16"/>
      <c r="Y40" s="16"/>
      <c r="Z40" s="16"/>
      <c r="AA40" s="118">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7">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7">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7">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7">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7">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7">
        <f>IFERROR(__xludf.DUMMYFUNCTION("""COMPUTED_VALUE"""),1.272E8)</f>
        <v>127200000</v>
      </c>
      <c r="G46" s="16" t="str">
        <f>IFERROR(__xludf.DUMMYFUNCTION("""COMPUTED_VALUE"""),"DMG")</f>
        <v>DMG</v>
      </c>
      <c r="H46" s="118">
        <f>IFERROR(__xludf.DUMMYFUNCTION("""COMPUTED_VALUE"""),10000.0)</f>
        <v>10000</v>
      </c>
      <c r="I46" s="118">
        <f>IFERROR(__xludf.DUMMYFUNCTION("""COMPUTED_VALUE"""),10000.0)</f>
        <v>10000</v>
      </c>
      <c r="J46" s="16"/>
      <c r="K46" s="16"/>
      <c r="L46" s="16"/>
      <c r="M46" s="16"/>
      <c r="N46" s="16"/>
      <c r="O46" s="118">
        <f>IFERROR(__xludf.DUMMYFUNCTION("""COMPUTED_VALUE"""),10000.0)</f>
        <v>10000</v>
      </c>
      <c r="P46" s="118">
        <f>IFERROR(__xludf.DUMMYFUNCTION("""COMPUTED_VALUE"""),10000.0)</f>
        <v>10000</v>
      </c>
      <c r="Q46" s="16"/>
      <c r="R46" s="118">
        <f>IFERROR(__xludf.DUMMYFUNCTION("""COMPUTED_VALUE"""),10000.0)</f>
        <v>10000</v>
      </c>
      <c r="S46" s="16"/>
      <c r="T46" s="16"/>
      <c r="U46" s="16"/>
      <c r="V46" s="16"/>
      <c r="W46" s="16"/>
      <c r="X46" s="118">
        <f>IFERROR(__xludf.DUMMYFUNCTION("""COMPUTED_VALUE"""),10000.0)</f>
        <v>10000</v>
      </c>
      <c r="Y46" s="118">
        <f>IFERROR(__xludf.DUMMYFUNCTION("""COMPUTED_VALUE"""),10000.0)</f>
        <v>10000</v>
      </c>
      <c r="Z46" s="16"/>
      <c r="AA46" s="16"/>
      <c r="AB46" s="16"/>
      <c r="AC46" s="118">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7">
        <f>IFERROR(__xludf.DUMMYFUNCTION("""COMPUTED_VALUE"""),1900000.0)</f>
        <v>1900000</v>
      </c>
      <c r="G47" s="16" t="str">
        <f>IFERROR(__xludf.DUMMYFUNCTION("""COMPUTED_VALUE"""),"DEF")</f>
        <v>DEF</v>
      </c>
      <c r="H47" s="118">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7">
        <f>IFERROR(__xludf.DUMMYFUNCTION("""COMPUTED_VALUE"""),3.196E9)</f>
        <v>3196000000</v>
      </c>
      <c r="G48" s="16" t="str">
        <f>IFERROR(__xludf.DUMMYFUNCTION("""COMPUTED_VALUE"""),"DEF")</f>
        <v>DEF</v>
      </c>
      <c r="H48" s="118">
        <f>IFERROR(__xludf.DUMMYFUNCTION("""COMPUTED_VALUE"""),100000.0)</f>
        <v>100000</v>
      </c>
      <c r="I48" s="16"/>
      <c r="J48" s="16"/>
      <c r="K48" s="16"/>
      <c r="L48" s="16"/>
      <c r="M48" s="16"/>
      <c r="N48" s="118">
        <f>IFERROR(__xludf.DUMMYFUNCTION("""COMPUTED_VALUE"""),100000.0)</f>
        <v>100000</v>
      </c>
      <c r="O48" s="118">
        <f>IFERROR(__xludf.DUMMYFUNCTION("""COMPUTED_VALUE"""),100000.0)</f>
        <v>100000</v>
      </c>
      <c r="P48" s="16"/>
      <c r="Q48" s="16"/>
      <c r="R48" s="16"/>
      <c r="S48" s="16"/>
      <c r="T48" s="16"/>
      <c r="U48" s="16"/>
      <c r="V48" s="16"/>
      <c r="W48" s="16"/>
      <c r="X48" s="16"/>
      <c r="Y48" s="16"/>
      <c r="Z48" s="16"/>
      <c r="AA48" s="16"/>
      <c r="AB48" s="16"/>
      <c r="AC48" s="118">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7">
        <f>IFERROR(__xludf.DUMMYFUNCTION("""COMPUTED_VALUE"""),3.196E9)</f>
        <v>3196000000</v>
      </c>
      <c r="G49" s="16" t="str">
        <f>IFERROR(__xludf.DUMMYFUNCTION("""COMPUTED_VALUE"""),"DMG")</f>
        <v>DMG</v>
      </c>
      <c r="H49" s="118">
        <f>IFERROR(__xludf.DUMMYFUNCTION("""COMPUTED_VALUE"""),100000.0)</f>
        <v>100000</v>
      </c>
      <c r="I49" s="16"/>
      <c r="J49" s="16"/>
      <c r="K49" s="16"/>
      <c r="L49" s="16"/>
      <c r="M49" s="16"/>
      <c r="N49" s="118">
        <f>IFERROR(__xludf.DUMMYFUNCTION("""COMPUTED_VALUE"""),100000.0)</f>
        <v>100000</v>
      </c>
      <c r="O49" s="118">
        <f>IFERROR(__xludf.DUMMYFUNCTION("""COMPUTED_VALUE"""),100000.0)</f>
        <v>100000</v>
      </c>
      <c r="P49" s="16"/>
      <c r="Q49" s="16"/>
      <c r="R49" s="16"/>
      <c r="S49" s="16"/>
      <c r="T49" s="16"/>
      <c r="U49" s="16"/>
      <c r="V49" s="16"/>
      <c r="W49" s="16"/>
      <c r="X49" s="16"/>
      <c r="Y49" s="16"/>
      <c r="Z49" s="16"/>
      <c r="AA49" s="16"/>
      <c r="AB49" s="16"/>
      <c r="AC49" s="118">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7">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7">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7">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7">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7">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7">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7">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7">
        <f>IFERROR(__xludf.DUMMYFUNCTION("""COMPUTED_VALUE"""),7800000.0)</f>
        <v>7800000</v>
      </c>
      <c r="G57" s="16" t="str">
        <f>IFERROR(__xludf.DUMMYFUNCTION("""COMPUTED_VALUE"""),"DEF")</f>
        <v>DEF</v>
      </c>
      <c r="H57" s="118">
        <f>IFERROR(__xludf.DUMMYFUNCTION("""COMPUTED_VALUE"""),10000.0)</f>
        <v>10000</v>
      </c>
      <c r="I57" s="16"/>
      <c r="J57" s="16"/>
      <c r="K57" s="118">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7">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7">
        <f>IFERROR(__xludf.DUMMYFUNCTION("""COMPUTED_VALUE"""),1.1175E8)</f>
        <v>111750000</v>
      </c>
      <c r="G59" s="16" t="str">
        <f>IFERROR(__xludf.DUMMYFUNCTION("""COMPUTED_VALUE"""),"DMG")</f>
        <v>DMG</v>
      </c>
      <c r="H59" s="16">
        <f>IFERROR(__xludf.DUMMYFUNCTION("""COMPUTED_VALUE"""),25000.0)</f>
        <v>25000</v>
      </c>
      <c r="I59" s="16"/>
      <c r="J59" s="16"/>
      <c r="K59" s="16"/>
      <c r="L59" s="16"/>
      <c r="M59" s="118">
        <f>IFERROR(__xludf.DUMMYFUNCTION("""COMPUTED_VALUE"""),25000.0)</f>
        <v>25000</v>
      </c>
      <c r="N59" s="16"/>
      <c r="O59" s="118">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7">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7">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7">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7">
        <f>IFERROR(__xludf.DUMMYFUNCTION("""COMPUTED_VALUE"""),4350000.0)</f>
        <v>4350000</v>
      </c>
      <c r="G63" s="118" t="str">
        <f>IFERROR(__xludf.DUMMYFUNCTION("""COMPUTED_VALUE"""),"DEF")</f>
        <v>DEF</v>
      </c>
      <c r="H63" s="118">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7">
        <f>IFERROR(__xludf.DUMMYFUNCTION("""COMPUTED_VALUE"""),1900000.0)</f>
        <v>1900000</v>
      </c>
      <c r="G64" s="16" t="str">
        <f>IFERROR(__xludf.DUMMYFUNCTION("""COMPUTED_VALUE"""),"DEF")</f>
        <v>DEF</v>
      </c>
      <c r="H64" s="118">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7">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7">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7">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7">
        <f>IFERROR(__xludf.DUMMYFUNCTION("""COMPUTED_VALUE"""),7800000.0)</f>
        <v>7800000</v>
      </c>
      <c r="G68" s="16" t="str">
        <f>IFERROR(__xludf.DUMMYFUNCTION("""COMPUTED_VALUE"""),"DMG")</f>
        <v>DMG</v>
      </c>
      <c r="H68" s="118">
        <f>IFERROR(__xludf.DUMMYFUNCTION("""COMPUTED_VALUE"""),10000.0)</f>
        <v>10000</v>
      </c>
      <c r="I68" s="16"/>
      <c r="J68" s="16"/>
      <c r="K68" s="118">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7">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7">
        <f>IFERROR(__xludf.DUMMYFUNCTION("""COMPUTED_VALUE"""),7800000.0)</f>
        <v>7800000</v>
      </c>
      <c r="G70" s="16" t="str">
        <f>IFERROR(__xludf.DUMMYFUNCTION("""COMPUTED_VALUE"""),"DMG")</f>
        <v>DMG</v>
      </c>
      <c r="H70" s="118">
        <f>IFERROR(__xludf.DUMMYFUNCTION("""COMPUTED_VALUE"""),10000.0)</f>
        <v>10000</v>
      </c>
      <c r="I70" s="16"/>
      <c r="J70" s="16"/>
      <c r="K70" s="16"/>
      <c r="L70" s="16"/>
      <c r="M70" s="118">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7">
        <f>IFERROR(__xludf.DUMMYFUNCTION("""COMPUTED_VALUE"""),1900000.0)</f>
        <v>1900000</v>
      </c>
      <c r="G71" s="16" t="str">
        <f>IFERROR(__xludf.DUMMYFUNCTION("""COMPUTED_VALUE"""),"DEF")</f>
        <v>DEF</v>
      </c>
      <c r="H71" s="118">
        <f>IFERROR(__xludf.DUMMYFUNCTION("""COMPUTED_VALUE"""),5000.0)</f>
        <v>5000</v>
      </c>
      <c r="I71" s="16"/>
      <c r="J71" s="16"/>
      <c r="K71" s="16"/>
      <c r="L71" s="16"/>
      <c r="M71" s="118">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7">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7">
        <f>IFERROR(__xludf.DUMMYFUNCTION("""COMPUTED_VALUE"""),1900000.0)</f>
        <v>1900000</v>
      </c>
      <c r="G73" s="16" t="str">
        <f>IFERROR(__xludf.DUMMYFUNCTION("""COMPUTED_VALUE"""),"DMG")</f>
        <v>DMG</v>
      </c>
      <c r="H73" s="118">
        <f>IFERROR(__xludf.DUMMYFUNCTION("""COMPUTED_VALUE"""),5000.0)</f>
        <v>5000</v>
      </c>
      <c r="I73" s="16"/>
      <c r="J73" s="16"/>
      <c r="K73" s="16"/>
      <c r="L73" s="16"/>
      <c r="M73" s="118">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7">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7">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7">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7">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7">
        <f>IFERROR(__xludf.DUMMYFUNCTION("""COMPUTED_VALUE"""),1.891E7)</f>
        <v>18910000</v>
      </c>
      <c r="G78" s="16" t="str">
        <f>IFERROR(__xludf.DUMMYFUNCTION("""COMPUTED_VALUE"""),"DMG")</f>
        <v>DMG</v>
      </c>
      <c r="H78" s="118">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7">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7">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7">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7">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7">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7">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7">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7">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7">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8">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7">
        <f>IFERROR(__xludf.DUMMYFUNCTION("""COMPUTED_VALUE"""),1.77E7)</f>
        <v>17700000</v>
      </c>
      <c r="G88" s="16" t="str">
        <f>IFERROR(__xludf.DUMMYFUNCTION("""COMPUTED_VALUE"""),"DMG")</f>
        <v>DMG</v>
      </c>
      <c r="H88" s="118">
        <f>IFERROR(__xludf.DUMMYFUNCTION("""COMPUTED_VALUE"""),10000.0)</f>
        <v>10000</v>
      </c>
      <c r="I88" s="16"/>
      <c r="J88" s="16"/>
      <c r="K88" s="16"/>
      <c r="L88" s="16"/>
      <c r="M88" s="16"/>
      <c r="N88" s="16"/>
      <c r="O88" s="118">
        <f>IFERROR(__xludf.DUMMYFUNCTION("""COMPUTED_VALUE"""),10000.0)</f>
        <v>10000</v>
      </c>
      <c r="P88" s="16"/>
      <c r="Q88" s="16"/>
      <c r="R88" s="118">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7">
        <f>IFERROR(__xludf.DUMMYFUNCTION("""COMPUTED_VALUE"""),4.485E8)</f>
        <v>448500000</v>
      </c>
      <c r="G89" s="16" t="str">
        <f>IFERROR(__xludf.DUMMYFUNCTION("""COMPUTED_VALUE"""),"DMG")</f>
        <v>DMG</v>
      </c>
      <c r="H89" s="118">
        <f>IFERROR(__xludf.DUMMYFUNCTION("""COMPUTED_VALUE"""),50000.0)</f>
        <v>50000</v>
      </c>
      <c r="I89" s="118">
        <f>IFERROR(__xludf.DUMMYFUNCTION("""COMPUTED_VALUE"""),50000.0)</f>
        <v>50000</v>
      </c>
      <c r="J89" s="16"/>
      <c r="K89" s="16"/>
      <c r="L89" s="16"/>
      <c r="M89" s="16"/>
      <c r="N89" s="16"/>
      <c r="O89" s="16"/>
      <c r="P89" s="16"/>
      <c r="Q89" s="16"/>
      <c r="R89" s="118">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7">
        <f>IFERROR(__xludf.DUMMYFUNCTION("""COMPUTED_VALUE"""),3.196E9)</f>
        <v>3196000000</v>
      </c>
      <c r="G90" s="16" t="str">
        <f>IFERROR(__xludf.DUMMYFUNCTION("""COMPUTED_VALUE"""),"DMG")</f>
        <v>DMG</v>
      </c>
      <c r="H90" s="118">
        <f>IFERROR(__xludf.DUMMYFUNCTION("""COMPUTED_VALUE"""),100000.0)</f>
        <v>100000</v>
      </c>
      <c r="I90" s="118">
        <f>IFERROR(__xludf.DUMMYFUNCTION("""COMPUTED_VALUE"""),100000.0)</f>
        <v>100000</v>
      </c>
      <c r="J90" s="16"/>
      <c r="K90" s="16"/>
      <c r="L90" s="16"/>
      <c r="M90" s="16"/>
      <c r="N90" s="16"/>
      <c r="O90" s="118">
        <f>IFERROR(__xludf.DUMMYFUNCTION("""COMPUTED_VALUE"""),50000.0)</f>
        <v>50000</v>
      </c>
      <c r="P90" s="16"/>
      <c r="Q90" s="16"/>
      <c r="R90" s="118">
        <f>IFERROR(__xludf.DUMMYFUNCTION("""COMPUTED_VALUE"""),50000.0)</f>
        <v>50000</v>
      </c>
      <c r="S90" s="16"/>
      <c r="T90" s="16"/>
      <c r="U90" s="16"/>
      <c r="V90" s="16"/>
      <c r="W90" s="16"/>
      <c r="X90" s="16"/>
      <c r="Y90" s="118">
        <f>IFERROR(__xludf.DUMMYFUNCTION("""COMPUTED_VALUE"""),50000.0)</f>
        <v>50000</v>
      </c>
      <c r="Z90" s="16"/>
      <c r="AA90" s="16"/>
      <c r="AB90" s="16"/>
      <c r="AC90" s="118">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7">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8">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7">
        <f>IFERROR(__xludf.DUMMYFUNCTION("""COMPUTED_VALUE"""),1.2475E9)</f>
        <v>1247500000</v>
      </c>
      <c r="G92" s="16" t="str">
        <f>IFERROR(__xludf.DUMMYFUNCTION("""COMPUTED_VALUE"""),"DEF")</f>
        <v>DEF</v>
      </c>
      <c r="H92" s="118">
        <f>IFERROR(__xludf.DUMMYFUNCTION("""COMPUTED_VALUE"""),50000.0)</f>
        <v>50000</v>
      </c>
      <c r="I92" s="118">
        <f>IFERROR(__xludf.DUMMYFUNCTION("""COMPUTED_VALUE"""),50000.0)</f>
        <v>50000</v>
      </c>
      <c r="J92" s="16"/>
      <c r="K92" s="16"/>
      <c r="L92" s="16"/>
      <c r="M92" s="16"/>
      <c r="N92" s="16"/>
      <c r="O92" s="118">
        <f>IFERROR(__xludf.DUMMYFUNCTION("""COMPUTED_VALUE"""),50000.0)</f>
        <v>50000</v>
      </c>
      <c r="P92" s="16"/>
      <c r="Q92" s="16"/>
      <c r="R92" s="118">
        <f>IFERROR(__xludf.DUMMYFUNCTION("""COMPUTED_VALUE"""),50000.0)</f>
        <v>50000</v>
      </c>
      <c r="S92" s="16"/>
      <c r="T92" s="16"/>
      <c r="U92" s="16"/>
      <c r="V92" s="16"/>
      <c r="W92" s="16"/>
      <c r="X92" s="16"/>
      <c r="Y92" s="118">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7">
        <f>IFERROR(__xludf.DUMMYFUNCTION("""COMPUTED_VALUE"""),1900000.0)</f>
        <v>1900000</v>
      </c>
      <c r="G93" s="16" t="str">
        <f>IFERROR(__xludf.DUMMYFUNCTION("""COMPUTED_VALUE"""),"DEF")</f>
        <v>DEF</v>
      </c>
      <c r="H93" s="118">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7">
        <f>IFERROR(__xludf.DUMMYFUNCTION("""COMPUTED_VALUE"""),7.194E9)</f>
        <v>7194000000</v>
      </c>
      <c r="G94" s="16" t="str">
        <f>IFERROR(__xludf.DUMMYFUNCTION("""COMPUTED_VALUE"""),"DMG")</f>
        <v>DMG</v>
      </c>
      <c r="H94" s="118">
        <f>IFERROR(__xludf.DUMMYFUNCTION("""COMPUTED_VALUE"""),100000.0)</f>
        <v>100000</v>
      </c>
      <c r="I94" s="118">
        <f>IFERROR(__xludf.DUMMYFUNCTION("""COMPUTED_VALUE"""),100000.0)</f>
        <v>100000</v>
      </c>
      <c r="J94" s="16"/>
      <c r="K94" s="16"/>
      <c r="L94" s="16"/>
      <c r="M94" s="118">
        <f>IFERROR(__xludf.DUMMYFUNCTION("""COMPUTED_VALUE"""),100000.0)</f>
        <v>100000</v>
      </c>
      <c r="N94" s="16"/>
      <c r="O94" s="118">
        <f>IFERROR(__xludf.DUMMYFUNCTION("""COMPUTED_VALUE"""),100000.0)</f>
        <v>100000</v>
      </c>
      <c r="P94" s="16"/>
      <c r="Q94" s="16"/>
      <c r="R94" s="16"/>
      <c r="S94" s="16"/>
      <c r="T94" s="16"/>
      <c r="U94" s="16"/>
      <c r="V94" s="16"/>
      <c r="W94" s="16"/>
      <c r="X94" s="16"/>
      <c r="Y94" s="118">
        <f>IFERROR(__xludf.DUMMYFUNCTION("""COMPUTED_VALUE"""),100000.0)</f>
        <v>100000</v>
      </c>
      <c r="Z94" s="16"/>
      <c r="AA94" s="16"/>
      <c r="AB94" s="16"/>
      <c r="AC94" s="118">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7">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7">
        <f>IFERROR(__xludf.DUMMYFUNCTION("""COMPUTED_VALUE"""),7.98E8)</f>
        <v>798000000</v>
      </c>
      <c r="G96" s="16" t="str">
        <f>IFERROR(__xludf.DUMMYFUNCTION("""COMPUTED_VALUE"""),"DEF")</f>
        <v>DEF</v>
      </c>
      <c r="H96" s="118">
        <f>IFERROR(__xludf.DUMMYFUNCTION("""COMPUTED_VALUE"""),50000.0)</f>
        <v>50000</v>
      </c>
      <c r="I96" s="118">
        <f>IFERROR(__xludf.DUMMYFUNCTION("""COMPUTED_VALUE"""),50000.0)</f>
        <v>50000</v>
      </c>
      <c r="J96" s="16"/>
      <c r="K96" s="16"/>
      <c r="L96" s="16"/>
      <c r="M96" s="118">
        <f>IFERROR(__xludf.DUMMYFUNCTION("""COMPUTED_VALUE"""),50000.0)</f>
        <v>50000</v>
      </c>
      <c r="N96" s="16"/>
      <c r="O96" s="16"/>
      <c r="P96" s="118">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7">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7">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7">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7">
        <f>IFERROR(__xludf.DUMMYFUNCTION("""COMPUTED_VALUE"""),100000.0)</f>
        <v>100000</v>
      </c>
      <c r="G100" s="16" t="str">
        <f>IFERROR(__xludf.DUMMYFUNCTION("""COMPUTED_VALUE"""),"DMG")</f>
        <v>DMG</v>
      </c>
      <c r="H100" s="118">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7">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7">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7">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7">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7">
        <f>IFERROR(__xludf.DUMMYFUNCTION("""COMPUTED_VALUE"""),1900000.0)</f>
        <v>1900000</v>
      </c>
      <c r="G105" s="16" t="str">
        <f>IFERROR(__xludf.DUMMYFUNCTION("""COMPUTED_VALUE"""),"DEF")</f>
        <v>DEF</v>
      </c>
      <c r="H105" s="16"/>
      <c r="I105" s="118">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7">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7">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7">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7">
        <f>IFERROR(__xludf.DUMMYFUNCTION("""COMPUTED_VALUE"""),7800000.0)</f>
        <v>7800000</v>
      </c>
      <c r="G109" s="16" t="str">
        <f>IFERROR(__xludf.DUMMYFUNCTION("""COMPUTED_VALUE"""),"DEF")</f>
        <v>DEF</v>
      </c>
      <c r="H109" s="16">
        <f>IFERROR(__xludf.DUMMYFUNCTION("""COMPUTED_VALUE"""),5000.0)</f>
        <v>5000</v>
      </c>
      <c r="I109" s="118">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7">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7">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7">
        <f>IFERROR(__xludf.DUMMYFUNCTION("""COMPUTED_VALUE"""),780000.0)</f>
        <v>780000</v>
      </c>
      <c r="G112" s="16" t="str">
        <f>IFERROR(__xludf.DUMMYFUNCTION("""COMPUTED_VALUE"""),"DEF")</f>
        <v>DEF</v>
      </c>
      <c r="H112" s="16">
        <f>IFERROR(__xludf.DUMMYFUNCTION("""COMPUTED_VALUE"""),5000.0)</f>
        <v>5000</v>
      </c>
      <c r="I112" s="118">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7">
        <f>IFERROR(__xludf.DUMMYFUNCTION("""COMPUTED_VALUE"""),2.415E7)</f>
        <v>24150000</v>
      </c>
      <c r="G113" s="16" t="str">
        <f>IFERROR(__xludf.DUMMYFUNCTION("""COMPUTED_VALUE"""),"DMG")</f>
        <v>DMG</v>
      </c>
      <c r="H113" s="16"/>
      <c r="I113" s="118">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7">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7">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7">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7">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7">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7">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7">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7">
        <f>IFERROR(__xludf.DUMMYFUNCTION("""COMPUTED_VALUE"""),7800000.0)</f>
        <v>7800000</v>
      </c>
      <c r="G121" s="16" t="str">
        <f>IFERROR(__xludf.DUMMYFUNCTION("""COMPUTED_VALUE"""),"DMG")</f>
        <v>DMG</v>
      </c>
      <c r="H121" s="118">
        <f>IFERROR(__xludf.DUMMYFUNCTION("""COMPUTED_VALUE"""),10000.0)</f>
        <v>10000</v>
      </c>
      <c r="I121" s="16"/>
      <c r="J121" s="16"/>
      <c r="K121" s="118">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7">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7">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7">
        <f>IFERROR(__xludf.DUMMYFUNCTION("""COMPUTED_VALUE"""),4.485E8)</f>
        <v>448500000</v>
      </c>
      <c r="G124" s="16" t="str">
        <f>IFERROR(__xludf.DUMMYFUNCTION("""COMPUTED_VALUE"""),"DMG")</f>
        <v>DMG</v>
      </c>
      <c r="H124" s="118">
        <f>IFERROR(__xludf.DUMMYFUNCTION("""COMPUTED_VALUE"""),100000.0)</f>
        <v>100000</v>
      </c>
      <c r="I124" s="16"/>
      <c r="J124" s="16"/>
      <c r="K124" s="16"/>
      <c r="L124" s="16"/>
      <c r="M124" s="118">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7">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7">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7">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7">
        <f>IFERROR(__xludf.DUMMYFUNCTION("""COMPUTED_VALUE"""),4.95E7)</f>
        <v>49500000</v>
      </c>
      <c r="G128" s="16" t="str">
        <f>IFERROR(__xludf.DUMMYFUNCTION("""COMPUTED_VALUE"""),"DEF")</f>
        <v>DEF</v>
      </c>
      <c r="H128" s="118">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7">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7">
        <f>IFERROR(__xludf.DUMMYFUNCTION("""COMPUTED_VALUE"""),1.797E9)</f>
        <v>1797000000</v>
      </c>
      <c r="G130" s="16" t="str">
        <f>IFERROR(__xludf.DUMMYFUNCTION("""COMPUTED_VALUE"""),"DMG")</f>
        <v>DMG</v>
      </c>
      <c r="H130" s="118">
        <f>IFERROR(__xludf.DUMMYFUNCTION("""COMPUTED_VALUE"""),50000.0)</f>
        <v>50000</v>
      </c>
      <c r="I130" s="118">
        <f>IFERROR(__xludf.DUMMYFUNCTION("""COMPUTED_VALUE"""),100000.0)</f>
        <v>100000</v>
      </c>
      <c r="J130" s="16"/>
      <c r="K130" s="16"/>
      <c r="L130" s="16"/>
      <c r="M130" s="16"/>
      <c r="N130" s="16"/>
      <c r="O130" s="118">
        <f>IFERROR(__xludf.DUMMYFUNCTION("""COMPUTED_VALUE"""),50000.0)</f>
        <v>50000</v>
      </c>
      <c r="P130" s="16"/>
      <c r="Q130" s="16"/>
      <c r="R130" s="118">
        <f>IFERROR(__xludf.DUMMYFUNCTION("""COMPUTED_VALUE"""),50000.0)</f>
        <v>50000</v>
      </c>
      <c r="S130" s="16"/>
      <c r="T130" s="16"/>
      <c r="U130" s="16"/>
      <c r="V130" s="16"/>
      <c r="W130" s="16"/>
      <c r="X130" s="16"/>
      <c r="Y130" s="16"/>
      <c r="Z130" s="16"/>
      <c r="AA130" s="16"/>
      <c r="AB130" s="16"/>
      <c r="AC130" s="118">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7">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7">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7">
        <f>IFERROR(__xludf.DUMMYFUNCTION("""COMPUTED_VALUE"""),7.98E8)</f>
        <v>798000000</v>
      </c>
      <c r="G133" s="16" t="str">
        <f>IFERROR(__xludf.DUMMYFUNCTION("""COMPUTED_VALUE"""),"DMG")</f>
        <v>DMG</v>
      </c>
      <c r="H133" s="118">
        <f>IFERROR(__xludf.DUMMYFUNCTION("""COMPUTED_VALUE"""),100000.0)</f>
        <v>100000</v>
      </c>
      <c r="I133" s="16"/>
      <c r="J133" s="16"/>
      <c r="K133" s="16"/>
      <c r="L133" s="16"/>
      <c r="M133" s="118">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7">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7">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7">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7">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7">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7">
        <f>IFERROR(__xludf.DUMMYFUNCTION("""COMPUTED_VALUE"""),1.77E7)</f>
        <v>17700000</v>
      </c>
      <c r="G139" s="16" t="str">
        <f>IFERROR(__xludf.DUMMYFUNCTION("""COMPUTED_VALUE"""),"DMG")</f>
        <v>DMG</v>
      </c>
      <c r="H139" s="118">
        <f>IFERROR(__xludf.DUMMYFUNCTION("""COMPUTED_VALUE"""),10000.0)</f>
        <v>10000</v>
      </c>
      <c r="I139" s="16"/>
      <c r="J139" s="16"/>
      <c r="K139" s="16"/>
      <c r="L139" s="16"/>
      <c r="M139" s="16"/>
      <c r="N139" s="16"/>
      <c r="O139" s="118">
        <f>IFERROR(__xludf.DUMMYFUNCTION("""COMPUTED_VALUE"""),10000.0)</f>
        <v>10000</v>
      </c>
      <c r="P139" s="118">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7">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7">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7">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7">
        <f>IFERROR(__xludf.DUMMYFUNCTION("""COMPUTED_VALUE"""),7800000.0)</f>
        <v>7800000</v>
      </c>
      <c r="G143" s="16" t="str">
        <f>IFERROR(__xludf.DUMMYFUNCTION("""COMPUTED_VALUE"""),"DEF")</f>
        <v>DEF</v>
      </c>
      <c r="H143" s="118">
        <f>IFERROR(__xludf.DUMMYFUNCTION("""COMPUTED_VALUE"""),10000.0)</f>
        <v>10000</v>
      </c>
      <c r="I143" s="16"/>
      <c r="J143" s="16"/>
      <c r="K143" s="16"/>
      <c r="L143" s="16"/>
      <c r="M143" s="16"/>
      <c r="N143" s="16"/>
      <c r="O143" s="118">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7">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7">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7">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7">
        <f>IFERROR(__xludf.DUMMYFUNCTION("""COMPUTED_VALUE"""),7800000.0)</f>
        <v>7800000</v>
      </c>
      <c r="G147" s="16" t="str">
        <f>IFERROR(__xludf.DUMMYFUNCTION("""COMPUTED_VALUE"""),"DMG")</f>
        <v>DMG</v>
      </c>
      <c r="H147" s="118">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7">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7">
        <f>IFERROR(__xludf.DUMMYFUNCTION("""COMPUTED_VALUE"""),1900000.0)</f>
        <v>1900000</v>
      </c>
      <c r="G149" s="16"/>
      <c r="H149" s="16"/>
      <c r="I149" s="118">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7">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7">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7">
        <f>IFERROR(__xludf.DUMMYFUNCTION("""COMPUTED_VALUE"""),150000.0)</f>
        <v>150000</v>
      </c>
      <c r="G152" s="16" t="str">
        <f>IFERROR(__xludf.DUMMYFUNCTION("""COMPUTED_VALUE"""),"DMG")</f>
        <v>DMG</v>
      </c>
      <c r="H152" s="118">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7">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7">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7">
        <f>IFERROR(__xludf.DUMMYFUNCTION("""COMPUTED_VALUE"""),4.485E8)</f>
        <v>448500000</v>
      </c>
      <c r="G155" s="16" t="str">
        <f>IFERROR(__xludf.DUMMYFUNCTION("""COMPUTED_VALUE"""),"DMG")</f>
        <v>DMG</v>
      </c>
      <c r="H155" s="118">
        <f>IFERROR(__xludf.DUMMYFUNCTION("""COMPUTED_VALUE"""),50000.0)</f>
        <v>50000</v>
      </c>
      <c r="I155" s="118">
        <f>IFERROR(__xludf.DUMMYFUNCTION("""COMPUTED_VALUE"""),50000.0)</f>
        <v>50000</v>
      </c>
      <c r="J155" s="16"/>
      <c r="K155" s="16"/>
      <c r="L155" s="118">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7">
        <f>IFERROR(__xludf.DUMMYFUNCTION("""COMPUTED_VALUE"""),7.98E8)</f>
        <v>798000000</v>
      </c>
      <c r="G156" s="16" t="str">
        <f>IFERROR(__xludf.DUMMYFUNCTION("""COMPUTED_VALUE"""),"DMG")</f>
        <v>DMG</v>
      </c>
      <c r="H156" s="118">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8">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7">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7">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7">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7">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7">
        <f>IFERROR(__xludf.DUMMYFUNCTION("""COMPUTED_VALUE"""),3.16E7)</f>
        <v>31600000</v>
      </c>
      <c r="G161" s="16" t="str">
        <f>IFERROR(__xludf.DUMMYFUNCTION("""COMPUTED_VALUE"""),"DMG")</f>
        <v>DMG</v>
      </c>
      <c r="H161" s="118">
        <f>IFERROR(__xludf.DUMMYFUNCTION("""COMPUTED_VALUE"""),20000.0)</f>
        <v>20000</v>
      </c>
      <c r="I161" s="118">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7">
        <f>IFERROR(__xludf.DUMMYFUNCTION("""COMPUTED_VALUE"""),1.77E7)</f>
        <v>17700000</v>
      </c>
      <c r="G162" s="16" t="str">
        <f>IFERROR(__xludf.DUMMYFUNCTION("""COMPUTED_VALUE"""),"DMG")</f>
        <v>DMG</v>
      </c>
      <c r="H162" s="118">
        <f>IFERROR(__xludf.DUMMYFUNCTION("""COMPUTED_VALUE"""),10000.0)</f>
        <v>10000</v>
      </c>
      <c r="I162" s="118">
        <f>IFERROR(__xludf.DUMMYFUNCTION("""COMPUTED_VALUE"""),10000.0)</f>
        <v>10000</v>
      </c>
      <c r="J162" s="16"/>
      <c r="K162" s="16"/>
      <c r="L162" s="16"/>
      <c r="M162" s="16"/>
      <c r="N162" s="16"/>
      <c r="O162" s="16"/>
      <c r="P162" s="16"/>
      <c r="Q162" s="16"/>
      <c r="R162" s="16"/>
      <c r="S162" s="16"/>
      <c r="T162" s="16"/>
      <c r="U162" s="16"/>
      <c r="V162" s="16"/>
      <c r="W162" s="16"/>
      <c r="X162" s="16"/>
      <c r="Y162" s="118">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7">
        <f>IFERROR(__xludf.DUMMYFUNCTION("""COMPUTED_VALUE"""),1.272E8)</f>
        <v>127200000</v>
      </c>
      <c r="G163" s="16" t="str">
        <f>IFERROR(__xludf.DUMMYFUNCTION("""COMPUTED_VALUE"""),"DMG")</f>
        <v>DMG</v>
      </c>
      <c r="H163" s="118">
        <f>IFERROR(__xludf.DUMMYFUNCTION("""COMPUTED_VALUE"""),20000.0)</f>
        <v>20000</v>
      </c>
      <c r="I163" s="118">
        <f>IFERROR(__xludf.DUMMYFUNCTION("""COMPUTED_VALUE"""),20000.0)</f>
        <v>20000</v>
      </c>
      <c r="J163" s="16"/>
      <c r="K163" s="118">
        <f>IFERROR(__xludf.DUMMYFUNCTION("""COMPUTED_VALUE"""),20000.0)</f>
        <v>20000</v>
      </c>
      <c r="L163" s="16"/>
      <c r="M163" s="16"/>
      <c r="N163" s="16"/>
      <c r="O163" s="16"/>
      <c r="P163" s="16"/>
      <c r="Q163" s="16"/>
      <c r="R163" s="16"/>
      <c r="S163" s="16"/>
      <c r="T163" s="16"/>
      <c r="U163" s="16"/>
      <c r="V163" s="16"/>
      <c r="W163" s="16"/>
      <c r="X163" s="16"/>
      <c r="Y163" s="16"/>
      <c r="Z163" s="16"/>
      <c r="AA163" s="16"/>
      <c r="AB163" s="16"/>
      <c r="AC163" s="118">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7">
        <f>IFERROR(__xludf.DUMMYFUNCTION("""COMPUTED_VALUE"""),4.485E8)</f>
        <v>448500000</v>
      </c>
      <c r="G164" s="16" t="str">
        <f>IFERROR(__xludf.DUMMYFUNCTION("""COMPUTED_VALUE"""),"DMG")</f>
        <v>DMG</v>
      </c>
      <c r="H164" s="118">
        <f>IFERROR(__xludf.DUMMYFUNCTION("""COMPUTED_VALUE"""),50000.0)</f>
        <v>50000</v>
      </c>
      <c r="I164" s="16"/>
      <c r="J164" s="16"/>
      <c r="K164" s="16"/>
      <c r="L164" s="16"/>
      <c r="M164" s="16"/>
      <c r="N164" s="16"/>
      <c r="O164" s="16"/>
      <c r="P164" s="16"/>
      <c r="Q164" s="16"/>
      <c r="R164" s="16"/>
      <c r="S164" s="118">
        <f>IFERROR(__xludf.DUMMYFUNCTION("""COMPUTED_VALUE"""),50000.0)</f>
        <v>50000</v>
      </c>
      <c r="T164" s="16"/>
      <c r="U164" s="16"/>
      <c r="V164" s="16"/>
      <c r="W164" s="16"/>
      <c r="X164" s="16"/>
      <c r="Y164" s="16"/>
      <c r="Z164" s="16"/>
      <c r="AA164" s="16"/>
      <c r="AB164" s="16"/>
      <c r="AC164" s="118">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7">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7">
        <f>IFERROR(__xludf.DUMMYFUNCTION("""COMPUTED_VALUE"""),1.225E7)</f>
        <v>12250000</v>
      </c>
      <c r="G166" s="16" t="str">
        <f>IFERROR(__xludf.DUMMYFUNCTION("""COMPUTED_VALUE"""),"DMG")</f>
        <v>DMG</v>
      </c>
      <c r="H166" s="118">
        <f>IFERROR(__xludf.DUMMYFUNCTION("""COMPUTED_VALUE"""),10000.0)</f>
        <v>10000</v>
      </c>
      <c r="I166" s="16"/>
      <c r="J166" s="16"/>
      <c r="K166" s="16"/>
      <c r="L166" s="118">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7">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7">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7">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7">
        <f>IFERROR(__xludf.DUMMYFUNCTION("""COMPUTED_VALUE"""),4.485E8)</f>
        <v>448500000</v>
      </c>
      <c r="G170" s="16" t="str">
        <f>IFERROR(__xludf.DUMMYFUNCTION("""COMPUTED_VALUE"""),"DMG")</f>
        <v>DMG</v>
      </c>
      <c r="H170" s="118">
        <f>IFERROR(__xludf.DUMMYFUNCTION("""COMPUTED_VALUE"""),50000.0)</f>
        <v>50000</v>
      </c>
      <c r="I170" s="118">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8">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7">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7">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7">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7">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7">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7">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7">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7">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7">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7">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7">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7">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7">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7">
        <f>IFERROR(__xludf.DUMMYFUNCTION("""COMPUTED_VALUE"""),7.98E8)</f>
        <v>798000000</v>
      </c>
      <c r="G184" s="16" t="str">
        <f>IFERROR(__xludf.DUMMYFUNCTION("""COMPUTED_VALUE"""),"DEF")</f>
        <v>DEF</v>
      </c>
      <c r="H184" s="118">
        <f>IFERROR(__xludf.DUMMYFUNCTION("""COMPUTED_VALUE"""),100000.0)</f>
        <v>100000</v>
      </c>
      <c r="I184" s="118">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7">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7">
        <f>IFERROR(__xludf.DUMMYFUNCTION("""COMPUTED_VALUE"""),5.104E8)</f>
        <v>510400000</v>
      </c>
      <c r="G186" s="16" t="str">
        <f>IFERROR(__xludf.DUMMYFUNCTION("""COMPUTED_VALUE"""),"DEF")</f>
        <v>DEF</v>
      </c>
      <c r="H186" s="118">
        <f>IFERROR(__xludf.DUMMYFUNCTION("""COMPUTED_VALUE"""),10000.0)</f>
        <v>10000</v>
      </c>
      <c r="I186" s="118">
        <f>IFERROR(__xludf.DUMMYFUNCTION("""COMPUTED_VALUE"""),10000.0)</f>
        <v>10000</v>
      </c>
      <c r="J186" s="118">
        <f>IFERROR(__xludf.DUMMYFUNCTION("""COMPUTED_VALUE"""),10000.0)</f>
        <v>10000</v>
      </c>
      <c r="K186" s="118">
        <f>IFERROR(__xludf.DUMMYFUNCTION("""COMPUTED_VALUE"""),10000.0)</f>
        <v>10000</v>
      </c>
      <c r="L186" s="118">
        <f>IFERROR(__xludf.DUMMYFUNCTION("""COMPUTED_VALUE"""),10000.0)</f>
        <v>10000</v>
      </c>
      <c r="M186" s="118">
        <f>IFERROR(__xludf.DUMMYFUNCTION("""COMPUTED_VALUE"""),10000.0)</f>
        <v>10000</v>
      </c>
      <c r="N186" s="118">
        <f>IFERROR(__xludf.DUMMYFUNCTION("""COMPUTED_VALUE"""),10000.0)</f>
        <v>10000</v>
      </c>
      <c r="O186" s="118">
        <f>IFERROR(__xludf.DUMMYFUNCTION("""COMPUTED_VALUE"""),10000.0)</f>
        <v>10000</v>
      </c>
      <c r="P186" s="118">
        <f>IFERROR(__xludf.DUMMYFUNCTION("""COMPUTED_VALUE"""),10000.0)</f>
        <v>10000</v>
      </c>
      <c r="Q186" s="118">
        <f>IFERROR(__xludf.DUMMYFUNCTION("""COMPUTED_VALUE"""),10000.0)</f>
        <v>10000</v>
      </c>
      <c r="R186" s="118">
        <f>IFERROR(__xludf.DUMMYFUNCTION("""COMPUTED_VALUE"""),10000.0)</f>
        <v>10000</v>
      </c>
      <c r="S186" s="118">
        <f>IFERROR(__xludf.DUMMYFUNCTION("""COMPUTED_VALUE"""),10000.0)</f>
        <v>10000</v>
      </c>
      <c r="T186" s="16"/>
      <c r="U186" s="16"/>
      <c r="V186" s="16"/>
      <c r="W186" s="16"/>
      <c r="X186" s="118">
        <f>IFERROR(__xludf.DUMMYFUNCTION("""COMPUTED_VALUE"""),10000.0)</f>
        <v>10000</v>
      </c>
      <c r="Y186" s="118">
        <f>IFERROR(__xludf.DUMMYFUNCTION("""COMPUTED_VALUE"""),10000.0)</f>
        <v>10000</v>
      </c>
      <c r="Z186" s="16"/>
      <c r="AA186" s="16"/>
      <c r="AB186" s="118">
        <f>IFERROR(__xludf.DUMMYFUNCTION("""COMPUTED_VALUE"""),10000.0)</f>
        <v>10000</v>
      </c>
      <c r="AC186" s="118">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7">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7">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7">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7">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7">
        <f>IFERROR(__xludf.DUMMYFUNCTION("""COMPUTED_VALUE"""),1.2475E9)</f>
        <v>1247500000</v>
      </c>
      <c r="G191" s="16" t="str">
        <f>IFERROR(__xludf.DUMMYFUNCTION("""COMPUTED_VALUE"""),"DEF")</f>
        <v>DEF</v>
      </c>
      <c r="H191" s="118">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8">
        <f>IFERROR(__xludf.DUMMYFUNCTION("""COMPUTED_VALUE"""),100000.0)</f>
        <v>100000</v>
      </c>
      <c r="AC191" s="118">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7">
        <f>IFERROR(__xludf.DUMMYFUNCTION("""COMPUTED_VALUE"""),1.99E8)</f>
        <v>199000000</v>
      </c>
      <c r="G192" s="16" t="str">
        <f>IFERROR(__xludf.DUMMYFUNCTION("""COMPUTED_VALUE"""),"DMG")</f>
        <v>DMG</v>
      </c>
      <c r="H192" s="118">
        <f>IFERROR(__xludf.DUMMYFUNCTION("""COMPUTED_VALUE"""),50000.0)</f>
        <v>50000</v>
      </c>
      <c r="I192" s="16"/>
      <c r="J192" s="16"/>
      <c r="K192" s="16"/>
      <c r="L192" s="16"/>
      <c r="M192" s="16"/>
      <c r="N192" s="16"/>
      <c r="O192" s="16"/>
      <c r="P192" s="16"/>
      <c r="Q192" s="16"/>
      <c r="R192" s="16"/>
      <c r="S192" s="118">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7">
        <f>IFERROR(__xludf.DUMMYFUNCTION("""COMPUTED_VALUE"""),7800000.0)</f>
        <v>7800000</v>
      </c>
      <c r="G193" s="16" t="str">
        <f>IFERROR(__xludf.DUMMYFUNCTION("""COMPUTED_VALUE"""),"DEF")</f>
        <v>DEF</v>
      </c>
      <c r="H193" s="118">
        <f>IFERROR(__xludf.DUMMYFUNCTION("""COMPUTED_VALUE"""),10000.0)</f>
        <v>10000</v>
      </c>
      <c r="I193" s="16"/>
      <c r="J193" s="16"/>
      <c r="K193" s="118">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7">
        <f>IFERROR(__xludf.DUMMYFUNCTION("""COMPUTED_VALUE"""),3.16E7)</f>
        <v>31600000</v>
      </c>
      <c r="G194" s="16" t="str">
        <f>IFERROR(__xludf.DUMMYFUNCTION("""COMPUTED_VALUE"""),"DEF")</f>
        <v>DEF</v>
      </c>
      <c r="H194" s="118">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7">
        <f>IFERROR(__xludf.DUMMYFUNCTION("""COMPUTED_VALUE"""),7800000.0)</f>
        <v>7800000</v>
      </c>
      <c r="G195" s="16" t="str">
        <f>IFERROR(__xludf.DUMMYFUNCTION("""COMPUTED_VALUE"""),"DEF")</f>
        <v>DEF</v>
      </c>
      <c r="H195" s="118">
        <f>IFERROR(__xludf.DUMMYFUNCTION("""COMPUTED_VALUE"""),10000.0)</f>
        <v>10000</v>
      </c>
      <c r="I195" s="16"/>
      <c r="J195" s="16"/>
      <c r="K195" s="118">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7">
        <f>IFERROR(__xludf.DUMMYFUNCTION("""COMPUTED_VALUE"""),7800000.0)</f>
        <v>7800000</v>
      </c>
      <c r="G196" s="16" t="str">
        <f>IFERROR(__xludf.DUMMYFUNCTION("""COMPUTED_VALUE"""),"DEF")</f>
        <v>DEF</v>
      </c>
      <c r="H196" s="118">
        <f>IFERROR(__xludf.DUMMYFUNCTION("""COMPUTED_VALUE"""),10000.0)</f>
        <v>10000</v>
      </c>
      <c r="I196" s="16"/>
      <c r="J196" s="16"/>
      <c r="K196" s="118">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7">
        <f>IFERROR(__xludf.DUMMYFUNCTION("""COMPUTED_VALUE"""),7800000.0)</f>
        <v>7800000</v>
      </c>
      <c r="G197" s="16" t="str">
        <f>IFERROR(__xludf.DUMMYFUNCTION("""COMPUTED_VALUE"""),"DEF")</f>
        <v>DEF</v>
      </c>
      <c r="H197" s="118">
        <f>IFERROR(__xludf.DUMMYFUNCTION("""COMPUTED_VALUE"""),10000.0)</f>
        <v>10000</v>
      </c>
      <c r="I197" s="16"/>
      <c r="J197" s="16"/>
      <c r="K197" s="118">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7">
        <f>IFERROR(__xludf.DUMMYFUNCTION("""COMPUTED_VALUE"""),10000.0)</f>
        <v>10000</v>
      </c>
      <c r="G198" s="16" t="str">
        <f>IFERROR(__xludf.DUMMYFUNCTION("""COMPUTED_VALUE"""),"DEF")</f>
        <v>DEF</v>
      </c>
      <c r="H198" s="118">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7">
        <f>IFERROR(__xludf.DUMMYFUNCTION("""COMPUTED_VALUE"""),1.99E8)</f>
        <v>199000000</v>
      </c>
      <c r="G199" s="16" t="str">
        <f>IFERROR(__xludf.DUMMYFUNCTION("""COMPUTED_VALUE"""),"DMG")</f>
        <v>DMG</v>
      </c>
      <c r="H199" s="118">
        <f>IFERROR(__xludf.DUMMYFUNCTION("""COMPUTED_VALUE"""),40000.0)</f>
        <v>40000</v>
      </c>
      <c r="I199" s="16"/>
      <c r="J199" s="16"/>
      <c r="K199" s="118">
        <f>IFERROR(__xludf.DUMMYFUNCTION("""COMPUTED_VALUE"""),40000.0)</f>
        <v>40000</v>
      </c>
      <c r="L199" s="16"/>
      <c r="M199" s="16"/>
      <c r="N199" s="16"/>
      <c r="O199" s="16"/>
      <c r="P199" s="16"/>
      <c r="Q199" s="16"/>
      <c r="R199" s="16"/>
      <c r="S199" s="16"/>
      <c r="T199" s="16"/>
      <c r="U199" s="16"/>
      <c r="V199" s="16"/>
      <c r="W199" s="16"/>
      <c r="X199" s="16"/>
      <c r="Y199" s="16"/>
      <c r="Z199" s="16"/>
      <c r="AA199" s="16"/>
      <c r="AB199" s="16"/>
      <c r="AC199" s="118">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7">
        <f>IFERROR(__xludf.DUMMYFUNCTION("""COMPUTED_VALUE"""),3.1125E8)</f>
        <v>311250000</v>
      </c>
      <c r="G200" s="16" t="str">
        <f>IFERROR(__xludf.DUMMYFUNCTION("""COMPUTED_VALUE"""),"DMG")</f>
        <v>DMG</v>
      </c>
      <c r="H200" s="118">
        <f>IFERROR(__xludf.DUMMYFUNCTION("""COMPUTED_VALUE"""),50000.0)</f>
        <v>50000</v>
      </c>
      <c r="I200" s="16"/>
      <c r="J200" s="16"/>
      <c r="K200" s="118">
        <f>IFERROR(__xludf.DUMMYFUNCTION("""COMPUTED_VALUE"""),50000.0)</f>
        <v>50000</v>
      </c>
      <c r="L200" s="16"/>
      <c r="M200" s="16"/>
      <c r="N200" s="16"/>
      <c r="O200" s="16"/>
      <c r="P200" s="16"/>
      <c r="Q200" s="16"/>
      <c r="R200" s="16"/>
      <c r="S200" s="16"/>
      <c r="T200" s="16"/>
      <c r="U200" s="16"/>
      <c r="V200" s="16"/>
      <c r="W200" s="16"/>
      <c r="X200" s="16"/>
      <c r="Y200" s="16"/>
      <c r="Z200" s="16"/>
      <c r="AA200" s="16"/>
      <c r="AB200" s="16"/>
      <c r="AC200" s="118">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7">
        <f>IFERROR(__xludf.DUMMYFUNCTION("""COMPUTED_VALUE"""),7800000.0)</f>
        <v>7800000</v>
      </c>
      <c r="G201" s="16" t="str">
        <f>IFERROR(__xludf.DUMMYFUNCTION("""COMPUTED_VALUE"""),"DEF")</f>
        <v>DEF</v>
      </c>
      <c r="H201" s="118">
        <f>IFERROR(__xludf.DUMMYFUNCTION("""COMPUTED_VALUE"""),10000.0)</f>
        <v>10000</v>
      </c>
      <c r="I201" s="16"/>
      <c r="J201" s="16"/>
      <c r="K201" s="118">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7">
        <f>IFERROR(__xludf.DUMMYFUNCTION("""COMPUTED_VALUE"""),1.77E7)</f>
        <v>17700000</v>
      </c>
      <c r="G202" s="16" t="str">
        <f>IFERROR(__xludf.DUMMYFUNCTION("""COMPUTED_VALUE"""),"DMG")</f>
        <v>DMG</v>
      </c>
      <c r="H202" s="118">
        <f>IFERROR(__xludf.DUMMYFUNCTION("""COMPUTED_VALUE"""),10000.0)</f>
        <v>10000</v>
      </c>
      <c r="I202" s="16"/>
      <c r="J202" s="16"/>
      <c r="K202" s="16"/>
      <c r="L202" s="16"/>
      <c r="M202" s="16"/>
      <c r="N202" s="16"/>
      <c r="O202" s="16"/>
      <c r="P202" s="16"/>
      <c r="Q202" s="16"/>
      <c r="R202" s="118">
        <f>IFERROR(__xludf.DUMMYFUNCTION("""COMPUTED_VALUE"""),10000.0)</f>
        <v>10000</v>
      </c>
      <c r="S202" s="118">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7">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7">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7">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7">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7">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7">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7">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7">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7">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7">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7">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7">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7">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7">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7">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7">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7">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7">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7">
        <f>IFERROR(__xludf.DUMMYFUNCTION("""COMPUTED_VALUE"""),4.485E8)</f>
        <v>448500000</v>
      </c>
      <c r="G221" s="16" t="str">
        <f>IFERROR(__xludf.DUMMYFUNCTION("""COMPUTED_VALUE"""),"DMG")</f>
        <v>DMG</v>
      </c>
      <c r="H221" s="118">
        <f>IFERROR(__xludf.DUMMYFUNCTION("""COMPUTED_VALUE"""),50000.0)</f>
        <v>50000</v>
      </c>
      <c r="I221" s="16"/>
      <c r="J221" s="16"/>
      <c r="K221" s="16"/>
      <c r="L221" s="16"/>
      <c r="M221" s="16"/>
      <c r="N221" s="118">
        <f>IFERROR(__xludf.DUMMYFUNCTION("""COMPUTED_VALUE"""),50000.0)</f>
        <v>50000</v>
      </c>
      <c r="O221" s="16"/>
      <c r="P221" s="16"/>
      <c r="Q221" s="16"/>
      <c r="R221" s="16"/>
      <c r="S221" s="16"/>
      <c r="T221" s="16"/>
      <c r="U221" s="16"/>
      <c r="V221" s="16"/>
      <c r="W221" s="16"/>
      <c r="X221" s="16"/>
      <c r="Y221" s="16"/>
      <c r="Z221" s="16"/>
      <c r="AA221" s="16"/>
      <c r="AB221" s="16"/>
      <c r="AC221" s="118">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7">
        <f>IFERROR(__xludf.DUMMYFUNCTION("""COMPUTED_VALUE"""),4.485E8)</f>
        <v>448500000</v>
      </c>
      <c r="G222" s="16" t="str">
        <f>IFERROR(__xludf.DUMMYFUNCTION("""COMPUTED_VALUE"""),"DEF")</f>
        <v>DEF</v>
      </c>
      <c r="H222" s="118">
        <f>IFERROR(__xludf.DUMMYFUNCTION("""COMPUTED_VALUE"""),50000.0)</f>
        <v>50000</v>
      </c>
      <c r="I222" s="16"/>
      <c r="J222" s="16"/>
      <c r="K222" s="16"/>
      <c r="L222" s="16"/>
      <c r="M222" s="16"/>
      <c r="N222" s="118">
        <f>IFERROR(__xludf.DUMMYFUNCTION("""COMPUTED_VALUE"""),50000.0)</f>
        <v>50000</v>
      </c>
      <c r="O222" s="16"/>
      <c r="P222" s="16"/>
      <c r="Q222" s="16"/>
      <c r="R222" s="16"/>
      <c r="S222" s="16"/>
      <c r="T222" s="16"/>
      <c r="U222" s="16"/>
      <c r="V222" s="16"/>
      <c r="W222" s="16"/>
      <c r="X222" s="16"/>
      <c r="Y222" s="16"/>
      <c r="Z222" s="16"/>
      <c r="AA222" s="16"/>
      <c r="AB222" s="16"/>
      <c r="AC222" s="118">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7">
        <f>IFERROR(__xludf.DUMMYFUNCTION("""COMPUTED_VALUE"""),4.485E8)</f>
        <v>448500000</v>
      </c>
      <c r="G223" s="16" t="str">
        <f>IFERROR(__xludf.DUMMYFUNCTION("""COMPUTED_VALUE"""),"DEF")</f>
        <v>DEF</v>
      </c>
      <c r="H223" s="118">
        <f>IFERROR(__xludf.DUMMYFUNCTION("""COMPUTED_VALUE"""),50000.0)</f>
        <v>50000</v>
      </c>
      <c r="I223" s="16"/>
      <c r="J223" s="16"/>
      <c r="K223" s="16"/>
      <c r="L223" s="16"/>
      <c r="M223" s="16"/>
      <c r="N223" s="118">
        <f>IFERROR(__xludf.DUMMYFUNCTION("""COMPUTED_VALUE"""),50000.0)</f>
        <v>50000</v>
      </c>
      <c r="O223" s="16"/>
      <c r="P223" s="16"/>
      <c r="Q223" s="16"/>
      <c r="R223" s="16"/>
      <c r="S223" s="16"/>
      <c r="T223" s="16"/>
      <c r="U223" s="16"/>
      <c r="V223" s="16"/>
      <c r="W223" s="16"/>
      <c r="X223" s="16"/>
      <c r="Y223" s="16"/>
      <c r="Z223" s="16"/>
      <c r="AA223" s="16"/>
      <c r="AB223" s="16"/>
      <c r="AC223" s="118">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7">
        <f>IFERROR(__xludf.DUMMYFUNCTION("""COMPUTED_VALUE"""),4.485E8)</f>
        <v>448500000</v>
      </c>
      <c r="G224" s="16" t="str">
        <f>IFERROR(__xludf.DUMMYFUNCTION("""COMPUTED_VALUE"""),"DEF")</f>
        <v>DEF</v>
      </c>
      <c r="H224" s="118">
        <f>IFERROR(__xludf.DUMMYFUNCTION("""COMPUTED_VALUE"""),50000.0)</f>
        <v>50000</v>
      </c>
      <c r="I224" s="16"/>
      <c r="J224" s="16"/>
      <c r="K224" s="16"/>
      <c r="L224" s="16"/>
      <c r="M224" s="16"/>
      <c r="N224" s="118">
        <f>IFERROR(__xludf.DUMMYFUNCTION("""COMPUTED_VALUE"""),50000.0)</f>
        <v>50000</v>
      </c>
      <c r="O224" s="16"/>
      <c r="P224" s="16"/>
      <c r="Q224" s="16"/>
      <c r="R224" s="16"/>
      <c r="S224" s="16"/>
      <c r="T224" s="16"/>
      <c r="U224" s="16"/>
      <c r="V224" s="16"/>
      <c r="W224" s="16"/>
      <c r="X224" s="16"/>
      <c r="Y224" s="16"/>
      <c r="Z224" s="16"/>
      <c r="AA224" s="16"/>
      <c r="AB224" s="16"/>
      <c r="AC224" s="118">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7">
        <f>IFERROR(__xludf.DUMMYFUNCTION("""COMPUTED_VALUE"""),4.485E8)</f>
        <v>448500000</v>
      </c>
      <c r="G225" s="16" t="str">
        <f>IFERROR(__xludf.DUMMYFUNCTION("""COMPUTED_VALUE"""),"DEF")</f>
        <v>DEF</v>
      </c>
      <c r="H225" s="118">
        <f>IFERROR(__xludf.DUMMYFUNCTION("""COMPUTED_VALUE"""),50000.0)</f>
        <v>50000</v>
      </c>
      <c r="I225" s="16"/>
      <c r="J225" s="16"/>
      <c r="K225" s="16"/>
      <c r="L225" s="16"/>
      <c r="M225" s="16"/>
      <c r="N225" s="118">
        <f>IFERROR(__xludf.DUMMYFUNCTION("""COMPUTED_VALUE"""),50000.0)</f>
        <v>50000</v>
      </c>
      <c r="O225" s="16"/>
      <c r="P225" s="16"/>
      <c r="Q225" s="16"/>
      <c r="R225" s="16"/>
      <c r="S225" s="16"/>
      <c r="T225" s="16"/>
      <c r="U225" s="16"/>
      <c r="V225" s="16"/>
      <c r="W225" s="16"/>
      <c r="X225" s="16"/>
      <c r="Y225" s="16"/>
      <c r="Z225" s="16"/>
      <c r="AA225" s="16"/>
      <c r="AB225" s="16"/>
      <c r="AC225" s="118">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7">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7">
        <f>IFERROR(__xludf.DUMMYFUNCTION("""COMPUTED_VALUE"""),7800000.0)</f>
        <v>7800000</v>
      </c>
      <c r="G227" s="16" t="str">
        <f>IFERROR(__xludf.DUMMYFUNCTION("""COMPUTED_VALUE"""),"DMG")</f>
        <v>DMG</v>
      </c>
      <c r="H227" s="118">
        <f>IFERROR(__xludf.DUMMYFUNCTION("""COMPUTED_VALUE"""),10000.0)</f>
        <v>10000</v>
      </c>
      <c r="I227" s="118">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7">
        <f>IFERROR(__xludf.DUMMYFUNCTION("""COMPUTED_VALUE"""),4.005E7)</f>
        <v>40050000</v>
      </c>
      <c r="G228" s="16" t="str">
        <f>IFERROR(__xludf.DUMMYFUNCTION("""COMPUTED_VALUE"""),"DMG")</f>
        <v>DMG</v>
      </c>
      <c r="H228" s="118">
        <f>IFERROR(__xludf.DUMMYFUNCTION("""COMPUTED_VALUE"""),15000.0)</f>
        <v>15000</v>
      </c>
      <c r="I228" s="16"/>
      <c r="J228" s="16"/>
      <c r="K228" s="16"/>
      <c r="L228" s="16"/>
      <c r="M228" s="16"/>
      <c r="N228" s="16"/>
      <c r="O228" s="118">
        <f>IFERROR(__xludf.DUMMYFUNCTION("""COMPUTED_VALUE"""),15000.0)</f>
        <v>15000</v>
      </c>
      <c r="P228" s="16"/>
      <c r="Q228" s="16"/>
      <c r="R228" s="118">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7">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7">
        <f>IFERROR(__xludf.DUMMYFUNCTION("""COMPUTED_VALUE"""),2.409E8)</f>
        <v>240900000</v>
      </c>
      <c r="G230" s="16" t="str">
        <f>IFERROR(__xludf.DUMMYFUNCTION("""COMPUTED_VALUE"""),"DMG")</f>
        <v>DMG</v>
      </c>
      <c r="H230" s="118">
        <f>IFERROR(__xludf.DUMMYFUNCTION("""COMPUTED_VALUE"""),60000.0)</f>
        <v>60000</v>
      </c>
      <c r="I230" s="16"/>
      <c r="J230" s="16"/>
      <c r="K230" s="16"/>
      <c r="L230" s="16"/>
      <c r="M230" s="16"/>
      <c r="N230" s="16"/>
      <c r="O230" s="16"/>
      <c r="P230" s="16"/>
      <c r="Q230" s="16"/>
      <c r="R230" s="16"/>
      <c r="S230" s="16"/>
      <c r="T230" s="16"/>
      <c r="U230" s="16"/>
      <c r="V230" s="16"/>
      <c r="W230" s="16"/>
      <c r="X230" s="16"/>
      <c r="Y230" s="118">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7">
        <f>IFERROR(__xludf.DUMMYFUNCTION("""COMPUTED_VALUE"""),5.104E8)</f>
        <v>510400000</v>
      </c>
      <c r="G231" s="16" t="str">
        <f>IFERROR(__xludf.DUMMYFUNCTION("""COMPUTED_VALUE"""),"DEF")</f>
        <v>DEF</v>
      </c>
      <c r="H231" s="118">
        <f>IFERROR(__xludf.DUMMYFUNCTION("""COMPUTED_VALUE"""),10000.0)</f>
        <v>10000</v>
      </c>
      <c r="I231" s="118">
        <f>IFERROR(__xludf.DUMMYFUNCTION("""COMPUTED_VALUE"""),10000.0)</f>
        <v>10000</v>
      </c>
      <c r="J231" s="118">
        <f>IFERROR(__xludf.DUMMYFUNCTION("""COMPUTED_VALUE"""),10000.0)</f>
        <v>10000</v>
      </c>
      <c r="K231" s="118">
        <f>IFERROR(__xludf.DUMMYFUNCTION("""COMPUTED_VALUE"""),10000.0)</f>
        <v>10000</v>
      </c>
      <c r="L231" s="118">
        <f>IFERROR(__xludf.DUMMYFUNCTION("""COMPUTED_VALUE"""),10000.0)</f>
        <v>10000</v>
      </c>
      <c r="M231" s="118">
        <f>IFERROR(__xludf.DUMMYFUNCTION("""COMPUTED_VALUE"""),10000.0)</f>
        <v>10000</v>
      </c>
      <c r="N231" s="118">
        <f>IFERROR(__xludf.DUMMYFUNCTION("""COMPUTED_VALUE"""),10000.0)</f>
        <v>10000</v>
      </c>
      <c r="O231" s="118">
        <f>IFERROR(__xludf.DUMMYFUNCTION("""COMPUTED_VALUE"""),10000.0)</f>
        <v>10000</v>
      </c>
      <c r="P231" s="118">
        <f>IFERROR(__xludf.DUMMYFUNCTION("""COMPUTED_VALUE"""),10000.0)</f>
        <v>10000</v>
      </c>
      <c r="Q231" s="118">
        <f>IFERROR(__xludf.DUMMYFUNCTION("""COMPUTED_VALUE"""),10000.0)</f>
        <v>10000</v>
      </c>
      <c r="R231" s="118">
        <f>IFERROR(__xludf.DUMMYFUNCTION("""COMPUTED_VALUE"""),10000.0)</f>
        <v>10000</v>
      </c>
      <c r="S231" s="118">
        <f>IFERROR(__xludf.DUMMYFUNCTION("""COMPUTED_VALUE"""),10000.0)</f>
        <v>10000</v>
      </c>
      <c r="T231" s="16"/>
      <c r="U231" s="16"/>
      <c r="V231" s="16"/>
      <c r="W231" s="16"/>
      <c r="X231" s="118">
        <f>IFERROR(__xludf.DUMMYFUNCTION("""COMPUTED_VALUE"""),10000.0)</f>
        <v>10000</v>
      </c>
      <c r="Y231" s="118">
        <f>IFERROR(__xludf.DUMMYFUNCTION("""COMPUTED_VALUE"""),10000.0)</f>
        <v>10000</v>
      </c>
      <c r="Z231" s="16"/>
      <c r="AA231" s="16"/>
      <c r="AB231" s="118">
        <f>IFERROR(__xludf.DUMMYFUNCTION("""COMPUTED_VALUE"""),10000.0)</f>
        <v>10000</v>
      </c>
      <c r="AC231" s="118">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7">
        <f>IFERROR(__xludf.DUMMYFUNCTION("""COMPUTED_VALUE"""),5.995E7)</f>
        <v>59950000</v>
      </c>
      <c r="G232" s="16" t="str">
        <f>IFERROR(__xludf.DUMMYFUNCTION("""COMPUTED_VALUE"""),"DMG")</f>
        <v>DMG</v>
      </c>
      <c r="H232" s="118">
        <f>IFERROR(__xludf.DUMMYFUNCTION("""COMPUTED_VALUE"""),5000.0)</f>
        <v>5000</v>
      </c>
      <c r="I232" s="118">
        <f>IFERROR(__xludf.DUMMYFUNCTION("""COMPUTED_VALUE"""),5000.0)</f>
        <v>5000</v>
      </c>
      <c r="J232" s="16"/>
      <c r="K232" s="16"/>
      <c r="L232" s="16"/>
      <c r="M232" s="16"/>
      <c r="N232" s="16"/>
      <c r="O232" s="118">
        <f>IFERROR(__xludf.DUMMYFUNCTION("""COMPUTED_VALUE"""),5000.0)</f>
        <v>5000</v>
      </c>
      <c r="P232" s="118">
        <f>IFERROR(__xludf.DUMMYFUNCTION("""COMPUTED_VALUE"""),5000.0)</f>
        <v>5000</v>
      </c>
      <c r="Q232" s="16"/>
      <c r="R232" s="118">
        <f>IFERROR(__xludf.DUMMYFUNCTION("""COMPUTED_VALUE"""),5000.0)</f>
        <v>5000</v>
      </c>
      <c r="S232" s="16"/>
      <c r="T232" s="16"/>
      <c r="U232" s="16"/>
      <c r="V232" s="118">
        <f>IFERROR(__xludf.DUMMYFUNCTION("""COMPUTED_VALUE"""),5000.0)</f>
        <v>5000</v>
      </c>
      <c r="W232" s="118">
        <f>IFERROR(__xludf.DUMMYFUNCTION("""COMPUTED_VALUE"""),5000.0)</f>
        <v>5000</v>
      </c>
      <c r="X232" s="118">
        <f>IFERROR(__xludf.DUMMYFUNCTION("""COMPUTED_VALUE"""),5000.0)</f>
        <v>5000</v>
      </c>
      <c r="Y232" s="118">
        <f>IFERROR(__xludf.DUMMYFUNCTION("""COMPUTED_VALUE"""),5000.0)</f>
        <v>5000</v>
      </c>
      <c r="Z232" s="16"/>
      <c r="AA232" s="16"/>
      <c r="AB232" s="16"/>
      <c r="AC232" s="118">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7">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7">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7">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7">
        <f>IFERROR(__xludf.DUMMYFUNCTION("""COMPUTED_VALUE"""),1900000.0)</f>
        <v>1900000</v>
      </c>
      <c r="G236" s="16" t="str">
        <f>IFERROR(__xludf.DUMMYFUNCTION("""COMPUTED_VALUE"""),"DEF")</f>
        <v>DEF</v>
      </c>
      <c r="H236" s="118">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7">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7">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7">
        <f>IFERROR(__xludf.DUMMYFUNCTION("""COMPUTED_VALUE"""),1.99E8)</f>
        <v>199000000</v>
      </c>
      <c r="G239" s="16" t="str">
        <f>IFERROR(__xludf.DUMMYFUNCTION("""COMPUTED_VALUE"""),"DEF")</f>
        <v>DEF</v>
      </c>
      <c r="H239" s="118">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7">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7">
        <f>IFERROR(__xludf.DUMMYFUNCTION("""COMPUTED_VALUE"""),1900000.0)</f>
        <v>1900000</v>
      </c>
      <c r="G241" s="16" t="str">
        <f>IFERROR(__xludf.DUMMYFUNCTION("""COMPUTED_VALUE"""),"DMG")</f>
        <v>DMG</v>
      </c>
      <c r="H241" s="118">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7">
        <f>IFERROR(__xludf.DUMMYFUNCTION("""COMPUTED_VALUE"""),1900000.0)</f>
        <v>1900000</v>
      </c>
      <c r="G242" s="16" t="str">
        <f>IFERROR(__xludf.DUMMYFUNCTION("""COMPUTED_VALUE"""),"DEF")</f>
        <v>DEF</v>
      </c>
      <c r="H242" s="118">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7">
        <f>IFERROR(__xludf.DUMMYFUNCTION("""COMPUTED_VALUE"""),1900000.0)</f>
        <v>1900000</v>
      </c>
      <c r="G243" s="16" t="str">
        <f>IFERROR(__xludf.DUMMYFUNCTION("""COMPUTED_VALUE"""),"DEF")</f>
        <v>DEF</v>
      </c>
      <c r="H243" s="118">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7">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7">
        <f>IFERROR(__xludf.DUMMYFUNCTION("""COMPUTED_VALUE"""),1900000.0)</f>
        <v>1900000</v>
      </c>
      <c r="G245" s="16" t="str">
        <f>IFERROR(__xludf.DUMMYFUNCTION("""COMPUTED_VALUE"""),"DMG")</f>
        <v>DMG</v>
      </c>
      <c r="H245" s="118">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7">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7">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7">
        <f>IFERROR(__xludf.DUMMYFUNCTION("""COMPUTED_VALUE"""),1900000.0)</f>
        <v>1900000</v>
      </c>
      <c r="G248" s="16" t="str">
        <f>IFERROR(__xludf.DUMMYFUNCTION("""COMPUTED_VALUE"""),"DMG")</f>
        <v>DMG</v>
      </c>
      <c r="H248" s="118">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7">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7">
        <f>IFERROR(__xludf.DUMMYFUNCTION("""COMPUTED_VALUE"""),4.95E7)</f>
        <v>49500000</v>
      </c>
      <c r="G250" s="16" t="str">
        <f>IFERROR(__xludf.DUMMYFUNCTION("""COMPUTED_VALUE"""),"DMG")</f>
        <v>DMG</v>
      </c>
      <c r="H250" s="118">
        <f>IFERROR(__xludf.DUMMYFUNCTION("""COMPUTED_VALUE"""),30000.0)</f>
        <v>30000</v>
      </c>
      <c r="I250" s="16"/>
      <c r="J250" s="16"/>
      <c r="K250" s="16"/>
      <c r="L250" s="16"/>
      <c r="M250" s="16"/>
      <c r="N250" s="16"/>
      <c r="O250" s="118">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7">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7">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7">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7">
        <f>IFERROR(__xludf.DUMMYFUNCTION("""COMPUTED_VALUE"""),4.485E8)</f>
        <v>448500000</v>
      </c>
      <c r="G254" s="16" t="str">
        <f>IFERROR(__xludf.DUMMYFUNCTION("""COMPUTED_VALUE"""),"DMG")</f>
        <v>DMG</v>
      </c>
      <c r="H254" s="118">
        <f>IFERROR(__xludf.DUMMYFUNCTION("""COMPUTED_VALUE"""),50000.0)</f>
        <v>50000</v>
      </c>
      <c r="I254" s="118">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8">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7">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7">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7">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7">
        <f>IFERROR(__xludf.DUMMYFUNCTION("""COMPUTED_VALUE"""),7.14E7)</f>
        <v>71400000</v>
      </c>
      <c r="G258" s="16" t="str">
        <f>IFERROR(__xludf.DUMMYFUNCTION("""COMPUTED_VALUE"""),"DMG")</f>
        <v>DMG</v>
      </c>
      <c r="H258" s="16"/>
      <c r="I258" s="118">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7">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7">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7">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7">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7">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7">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7">
        <f>IFERROR(__xludf.DUMMYFUNCTION("""COMPUTED_VALUE"""),1.1175E8)</f>
        <v>111750000</v>
      </c>
      <c r="G265" s="16" t="str">
        <f>IFERROR(__xludf.DUMMYFUNCTION("""COMPUTED_VALUE"""),"DEF")</f>
        <v>DEF</v>
      </c>
      <c r="H265" s="118">
        <f>IFERROR(__xludf.DUMMYFUNCTION("""COMPUTED_VALUE"""),25000.0)</f>
        <v>25000</v>
      </c>
      <c r="I265" s="16"/>
      <c r="J265" s="16"/>
      <c r="K265" s="16"/>
      <c r="L265" s="16"/>
      <c r="M265" s="16"/>
      <c r="N265" s="118">
        <f>IFERROR(__xludf.DUMMYFUNCTION("""COMPUTED_VALUE"""),25000.0)</f>
        <v>25000</v>
      </c>
      <c r="O265" s="16"/>
      <c r="P265" s="16"/>
      <c r="Q265" s="16"/>
      <c r="R265" s="16"/>
      <c r="S265" s="16"/>
      <c r="T265" s="16"/>
      <c r="U265" s="16"/>
      <c r="V265" s="16"/>
      <c r="W265" s="16"/>
      <c r="X265" s="16"/>
      <c r="Y265" s="16"/>
      <c r="Z265" s="16"/>
      <c r="AA265" s="16"/>
      <c r="AB265" s="16"/>
      <c r="AC265" s="118">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7">
        <f>IFERROR(__xludf.DUMMYFUNCTION("""COMPUTED_VALUE"""),1.1175E8)</f>
        <v>111750000</v>
      </c>
      <c r="G266" s="16" t="str">
        <f>IFERROR(__xludf.DUMMYFUNCTION("""COMPUTED_VALUE"""),"DEF")</f>
        <v>DEF</v>
      </c>
      <c r="H266" s="118">
        <f>IFERROR(__xludf.DUMMYFUNCTION("""COMPUTED_VALUE"""),25000.0)</f>
        <v>25000</v>
      </c>
      <c r="I266" s="16"/>
      <c r="J266" s="16"/>
      <c r="K266" s="16"/>
      <c r="L266" s="16"/>
      <c r="M266" s="16"/>
      <c r="N266" s="118">
        <f>IFERROR(__xludf.DUMMYFUNCTION("""COMPUTED_VALUE"""),25000.0)</f>
        <v>25000</v>
      </c>
      <c r="O266" s="16"/>
      <c r="P266" s="16"/>
      <c r="Q266" s="16"/>
      <c r="R266" s="16"/>
      <c r="S266" s="16"/>
      <c r="T266" s="16"/>
      <c r="U266" s="16"/>
      <c r="V266" s="16"/>
      <c r="W266" s="16"/>
      <c r="X266" s="16"/>
      <c r="Y266" s="16"/>
      <c r="Z266" s="16"/>
      <c r="AA266" s="16"/>
      <c r="AB266" s="16"/>
      <c r="AC266" s="118">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7">
        <f>IFERROR(__xludf.DUMMYFUNCTION("""COMPUTED_VALUE"""),1.1175E8)</f>
        <v>111750000</v>
      </c>
      <c r="G267" s="16" t="str">
        <f>IFERROR(__xludf.DUMMYFUNCTION("""COMPUTED_VALUE"""),"DMG")</f>
        <v>DMG</v>
      </c>
      <c r="H267" s="118">
        <f>IFERROR(__xludf.DUMMYFUNCTION("""COMPUTED_VALUE"""),25000.0)</f>
        <v>25000</v>
      </c>
      <c r="I267" s="16"/>
      <c r="J267" s="16"/>
      <c r="K267" s="16"/>
      <c r="L267" s="16"/>
      <c r="M267" s="16"/>
      <c r="N267" s="118">
        <f>IFERROR(__xludf.DUMMYFUNCTION("""COMPUTED_VALUE"""),25000.0)</f>
        <v>25000</v>
      </c>
      <c r="O267" s="16"/>
      <c r="P267" s="16"/>
      <c r="Q267" s="16"/>
      <c r="R267" s="16"/>
      <c r="S267" s="16"/>
      <c r="T267" s="16"/>
      <c r="U267" s="16"/>
      <c r="V267" s="16"/>
      <c r="W267" s="16"/>
      <c r="X267" s="16"/>
      <c r="Y267" s="16"/>
      <c r="Z267" s="16"/>
      <c r="AA267" s="16"/>
      <c r="AB267" s="16"/>
      <c r="AC267" s="118">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7">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7">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7">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7">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7">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7">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7">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7">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7">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7">
        <f>IFERROR(__xludf.DUMMYFUNCTION("""COMPUTED_VALUE"""),7800000.0)</f>
        <v>7800000</v>
      </c>
      <c r="G277" s="16" t="str">
        <f>IFERROR(__xludf.DUMMYFUNCTION("""COMPUTED_VALUE"""),"DMG")</f>
        <v>DMG</v>
      </c>
      <c r="H277" s="118">
        <f>IFERROR(__xludf.DUMMYFUNCTION("""COMPUTED_VALUE"""),10000.0)</f>
        <v>10000</v>
      </c>
      <c r="I277" s="16"/>
      <c r="J277" s="16"/>
      <c r="K277" s="16"/>
      <c r="L277" s="16"/>
      <c r="M277" s="16"/>
      <c r="N277" s="16"/>
      <c r="O277" s="16"/>
      <c r="P277" s="16"/>
      <c r="Q277" s="16"/>
      <c r="R277" s="16"/>
      <c r="S277" s="118">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7">
        <f>IFERROR(__xludf.DUMMYFUNCTION("""COMPUTED_VALUE"""),1.77E7)</f>
        <v>17700000</v>
      </c>
      <c r="G278" s="16" t="str">
        <f>IFERROR(__xludf.DUMMYFUNCTION("""COMPUTED_VALUE"""),"DMG")</f>
        <v>DMG</v>
      </c>
      <c r="H278" s="118">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7">
        <f>IFERROR(__xludf.DUMMYFUNCTION("""COMPUTED_VALUE"""),1.77E7)</f>
        <v>17700000</v>
      </c>
      <c r="G279" s="16" t="str">
        <f>IFERROR(__xludf.DUMMYFUNCTION("""COMPUTED_VALUE"""),"DMG")</f>
        <v>DMG</v>
      </c>
      <c r="H279" s="118">
        <f>IFERROR(__xludf.DUMMYFUNCTION("""COMPUTED_VALUE"""),10000.0)</f>
        <v>10000</v>
      </c>
      <c r="I279" s="16"/>
      <c r="J279" s="16"/>
      <c r="K279" s="16"/>
      <c r="L279" s="16"/>
      <c r="M279" s="16"/>
      <c r="N279" s="16"/>
      <c r="O279" s="118">
        <f>IFERROR(__xludf.DUMMYFUNCTION("""COMPUTED_VALUE"""),10000.0)</f>
        <v>10000</v>
      </c>
      <c r="P279" s="16"/>
      <c r="Q279" s="16"/>
      <c r="R279" s="118">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7">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7">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7">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7">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7">
        <f>IFERROR(__xludf.DUMMYFUNCTION("""COMPUTED_VALUE"""),0.0)</f>
        <v>0</v>
      </c>
      <c r="G284" s="16" t="str">
        <f>IFERROR(__xludf.DUMMYFUNCTION("""COMPUTED_VALUE"""),"DMG")</f>
        <v>DMG</v>
      </c>
      <c r="H284" s="118">
        <f>IFERROR(__xludf.DUMMYFUNCTION("""COMPUTED_VALUE"""),0.0)</f>
        <v>0</v>
      </c>
      <c r="I284" s="16"/>
      <c r="J284" s="16"/>
      <c r="K284" s="16"/>
      <c r="L284" s="16"/>
      <c r="M284" s="16"/>
      <c r="N284" s="16"/>
      <c r="O284" s="16"/>
      <c r="P284" s="118">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7">
        <f>IFERROR(__xludf.DUMMYFUNCTION("""COMPUTED_VALUE"""),1200000.0)</f>
        <v>1200000</v>
      </c>
      <c r="G285" s="16" t="str">
        <f>IFERROR(__xludf.DUMMYFUNCTION("""COMPUTED_VALUE"""),"DMG")</f>
        <v>DMG</v>
      </c>
      <c r="H285" s="118">
        <f>IFERROR(__xludf.DUMMYFUNCTION("""COMPUTED_VALUE"""),4000.0)</f>
        <v>4000</v>
      </c>
      <c r="I285" s="16"/>
      <c r="J285" s="16"/>
      <c r="K285" s="16"/>
      <c r="L285" s="16"/>
      <c r="M285" s="16"/>
      <c r="N285" s="16"/>
      <c r="O285" s="16"/>
      <c r="P285" s="16"/>
      <c r="Q285" s="16"/>
      <c r="R285" s="16"/>
      <c r="S285" s="118">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7">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7">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7">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7">
        <f>IFERROR(__xludf.DUMMYFUNCTION("""COMPUTED_VALUE"""),1.99E8)</f>
        <v>199000000</v>
      </c>
      <c r="G289" s="16" t="str">
        <f>IFERROR(__xludf.DUMMYFUNCTION("""COMPUTED_VALUE"""),"DMG")</f>
        <v>DMG</v>
      </c>
      <c r="H289" s="118">
        <f>IFERROR(__xludf.DUMMYFUNCTION("""COMPUTED_VALUE"""),50000.0)</f>
        <v>50000</v>
      </c>
      <c r="I289" s="118">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7">
        <f>IFERROR(__xludf.DUMMYFUNCTION("""COMPUTED_VALUE"""),1.77E7)</f>
        <v>17700000</v>
      </c>
      <c r="G290" s="16" t="str">
        <f>IFERROR(__xludf.DUMMYFUNCTION("""COMPUTED_VALUE"""),"DMG")</f>
        <v>DMG</v>
      </c>
      <c r="H290" s="118">
        <f>IFERROR(__xludf.DUMMYFUNCTION("""COMPUTED_VALUE"""),20000.0)</f>
        <v>20000</v>
      </c>
      <c r="I290" s="118">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7">
        <f>IFERROR(__xludf.DUMMYFUNCTION("""COMPUTED_VALUE"""),7800000.0)</f>
        <v>7800000</v>
      </c>
      <c r="G291" s="16" t="str">
        <f>IFERROR(__xludf.DUMMYFUNCTION("""COMPUTED_VALUE"""),"DMG")</f>
        <v>DMG</v>
      </c>
      <c r="H291" s="118">
        <f>IFERROR(__xludf.DUMMYFUNCTION("""COMPUTED_VALUE"""),10000.0)</f>
        <v>10000</v>
      </c>
      <c r="I291" s="16"/>
      <c r="J291" s="16"/>
      <c r="K291" s="16"/>
      <c r="L291" s="16"/>
      <c r="M291" s="118">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7">
        <f>IFERROR(__xludf.DUMMYFUNCTION("""COMPUTED_VALUE"""),2.868E8)</f>
        <v>286800000</v>
      </c>
      <c r="G292" s="16" t="str">
        <f>IFERROR(__xludf.DUMMYFUNCTION("""COMPUTED_VALUE"""),"DMG")</f>
        <v>DMG</v>
      </c>
      <c r="H292" s="16">
        <f>IFERROR(__xludf.DUMMYFUNCTION("""COMPUTED_VALUE"""),10000.0)</f>
        <v>10000</v>
      </c>
      <c r="I292" s="16"/>
      <c r="J292" s="16"/>
      <c r="K292" s="16"/>
      <c r="L292" s="16"/>
      <c r="M292" s="118">
        <f>IFERROR(__xludf.DUMMYFUNCTION("""COMPUTED_VALUE"""),50000.0)</f>
        <v>50000</v>
      </c>
      <c r="N292" s="16"/>
      <c r="O292" s="16"/>
      <c r="P292" s="16"/>
      <c r="Q292" s="16"/>
      <c r="R292" s="16"/>
      <c r="S292" s="16"/>
      <c r="T292" s="16"/>
      <c r="U292" s="16"/>
      <c r="V292" s="16"/>
      <c r="W292" s="16"/>
      <c r="X292" s="16"/>
      <c r="Y292" s="118">
        <f>IFERROR(__xludf.DUMMYFUNCTION("""COMPUTED_VALUE"""),50000.0)</f>
        <v>50000</v>
      </c>
      <c r="Z292" s="16"/>
      <c r="AA292" s="16"/>
      <c r="AB292" s="16"/>
      <c r="AC292" s="118">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7">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7">
        <f>IFERROR(__xludf.DUMMYFUNCTION("""COMPUTED_VALUE"""),1.99E8)</f>
        <v>199000000</v>
      </c>
      <c r="G294" s="16" t="str">
        <f>IFERROR(__xludf.DUMMYFUNCTION("""COMPUTED_VALUE"""),"DMG")</f>
        <v>DMG</v>
      </c>
      <c r="H294" s="118">
        <f>IFERROR(__xludf.DUMMYFUNCTION("""COMPUTED_VALUE"""),20000.0)</f>
        <v>20000</v>
      </c>
      <c r="I294" s="118">
        <f>IFERROR(__xludf.DUMMYFUNCTION("""COMPUTED_VALUE"""),20000.0)</f>
        <v>20000</v>
      </c>
      <c r="J294" s="16"/>
      <c r="K294" s="16"/>
      <c r="L294" s="16"/>
      <c r="M294" s="16"/>
      <c r="N294" s="16"/>
      <c r="O294" s="118">
        <f>IFERROR(__xludf.DUMMYFUNCTION("""COMPUTED_VALUE"""),20000.0)</f>
        <v>20000</v>
      </c>
      <c r="P294" s="16"/>
      <c r="Q294" s="16"/>
      <c r="R294" s="118">
        <f>IFERROR(__xludf.DUMMYFUNCTION("""COMPUTED_VALUE"""),20000.0)</f>
        <v>20000</v>
      </c>
      <c r="S294" s="16"/>
      <c r="T294" s="16"/>
      <c r="U294" s="16"/>
      <c r="V294" s="16"/>
      <c r="W294" s="16"/>
      <c r="X294" s="16"/>
      <c r="Y294" s="16"/>
      <c r="Z294" s="16"/>
      <c r="AA294" s="16"/>
      <c r="AB294" s="16"/>
      <c r="AC294" s="118">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7">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7">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7">
        <f>IFERROR(__xludf.DUMMYFUNCTION("""COMPUTED_VALUE"""),7.194E9)</f>
        <v>7194000000</v>
      </c>
      <c r="G297" s="16" t="str">
        <f>IFERROR(__xludf.DUMMYFUNCTION("""COMPUTED_VALUE"""),"DMG")</f>
        <v>DMG</v>
      </c>
      <c r="H297" s="118">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8">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7">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7">
        <f>IFERROR(__xludf.DUMMYFUNCTION("""COMPUTED_VALUE"""),7800000.0)</f>
        <v>7800000</v>
      </c>
      <c r="G299" s="16" t="str">
        <f>IFERROR(__xludf.DUMMYFUNCTION("""COMPUTED_VALUE"""),"DMG")</f>
        <v>DMG</v>
      </c>
      <c r="H299" s="118">
        <f>IFERROR(__xludf.DUMMYFUNCTION("""COMPUTED_VALUE"""),10000.0)</f>
        <v>10000</v>
      </c>
      <c r="I299" s="16"/>
      <c r="J299" s="16"/>
      <c r="K299" s="118">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7">
        <f>IFERROR(__xludf.DUMMYFUNCTION("""COMPUTED_VALUE"""),3.16E7)</f>
        <v>31600000</v>
      </c>
      <c r="G300" s="16" t="str">
        <f>IFERROR(__xludf.DUMMYFUNCTION("""COMPUTED_VALUE"""),"DMG")</f>
        <v>DMG</v>
      </c>
      <c r="H300" s="118">
        <f>IFERROR(__xludf.DUMMYFUNCTION("""COMPUTED_VALUE"""),10000.0)</f>
        <v>10000</v>
      </c>
      <c r="I300" s="118">
        <f>IFERROR(__xludf.DUMMYFUNCTION("""COMPUTED_VALUE"""),10000.0)</f>
        <v>10000</v>
      </c>
      <c r="J300" s="16"/>
      <c r="K300" s="16"/>
      <c r="L300" s="16"/>
      <c r="M300" s="16"/>
      <c r="N300" s="16"/>
      <c r="O300" s="118">
        <f>IFERROR(__xludf.DUMMYFUNCTION("""COMPUTED_VALUE"""),10000.0)</f>
        <v>10000</v>
      </c>
      <c r="P300" s="118">
        <f>IFERROR(__xludf.DUMMYFUNCTION("""COMPUTED_VALUE"""),5000.0)</f>
        <v>5000</v>
      </c>
      <c r="Q300" s="16"/>
      <c r="R300" s="118">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7">
        <f>IFERROR(__xludf.DUMMYFUNCTION("""COMPUTED_VALUE"""),3.16E7)</f>
        <v>31600000</v>
      </c>
      <c r="G301" s="16" t="str">
        <f>IFERROR(__xludf.DUMMYFUNCTION("""COMPUTED_VALUE"""),"DMG")</f>
        <v>DMG</v>
      </c>
      <c r="H301" s="118">
        <f>IFERROR(__xludf.DUMMYFUNCTION("""COMPUTED_VALUE"""),20000.0)</f>
        <v>20000</v>
      </c>
      <c r="I301" s="16"/>
      <c r="J301" s="16"/>
      <c r="K301" s="118">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7">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7">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7">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7">
        <f>IFERROR(__xludf.DUMMYFUNCTION("""COMPUTED_VALUE"""),3.1125E8)</f>
        <v>311250000</v>
      </c>
      <c r="G305" s="16" t="str">
        <f>IFERROR(__xludf.DUMMYFUNCTION("""COMPUTED_VALUE"""),"DMG")</f>
        <v>DMG</v>
      </c>
      <c r="H305" s="118">
        <f>IFERROR(__xludf.DUMMYFUNCTION("""COMPUTED_VALUE"""),50000.0)</f>
        <v>50000</v>
      </c>
      <c r="I305" s="16"/>
      <c r="J305" s="16"/>
      <c r="K305" s="16"/>
      <c r="L305" s="16"/>
      <c r="M305" s="16"/>
      <c r="N305" s="16"/>
      <c r="O305" s="118">
        <f>IFERROR(__xludf.DUMMYFUNCTION("""COMPUTED_VALUE"""),50000.0)</f>
        <v>50000</v>
      </c>
      <c r="P305" s="16"/>
      <c r="Q305" s="16"/>
      <c r="R305" s="16"/>
      <c r="S305" s="16"/>
      <c r="T305" s="16"/>
      <c r="U305" s="16"/>
      <c r="V305" s="16"/>
      <c r="W305" s="16"/>
      <c r="X305" s="16"/>
      <c r="Y305" s="118">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7">
        <f>IFERROR(__xludf.DUMMYFUNCTION("""COMPUTED_VALUE"""),4.95E7)</f>
        <v>49500000</v>
      </c>
      <c r="G306" s="16" t="str">
        <f>IFERROR(__xludf.DUMMYFUNCTION("""COMPUTED_VALUE"""),"DMG")</f>
        <v>DMG</v>
      </c>
      <c r="H306" s="118">
        <f>IFERROR(__xludf.DUMMYFUNCTION("""COMPUTED_VALUE"""),10000.0)</f>
        <v>10000</v>
      </c>
      <c r="I306" s="118">
        <f>IFERROR(__xludf.DUMMYFUNCTION("""COMPUTED_VALUE"""),10000.0)</f>
        <v>10000</v>
      </c>
      <c r="J306" s="16"/>
      <c r="K306" s="16"/>
      <c r="L306" s="16"/>
      <c r="M306" s="16"/>
      <c r="N306" s="16"/>
      <c r="O306" s="16"/>
      <c r="P306" s="16"/>
      <c r="Q306" s="118">
        <f>IFERROR(__xludf.DUMMYFUNCTION("""COMPUTED_VALUE"""),10000.0)</f>
        <v>10000</v>
      </c>
      <c r="R306" s="16"/>
      <c r="S306" s="118">
        <f>IFERROR(__xludf.DUMMYFUNCTION("""COMPUTED_VALUE"""),10000.0)</f>
        <v>10000</v>
      </c>
      <c r="T306" s="16"/>
      <c r="U306" s="16"/>
      <c r="V306" s="16"/>
      <c r="W306" s="16"/>
      <c r="X306" s="16"/>
      <c r="Y306" s="118">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7">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7">
        <f>IFERROR(__xludf.DUMMYFUNCTION("""COMPUTED_VALUE"""),1.891E7)</f>
        <v>18910000</v>
      </c>
      <c r="G308" s="16" t="str">
        <f>IFERROR(__xludf.DUMMYFUNCTION("""COMPUTED_VALUE"""),"DMG")</f>
        <v>DMG</v>
      </c>
      <c r="H308" s="16">
        <f>IFERROR(__xludf.DUMMYFUNCTION("""COMPUTED_VALUE"""),1000.0)</f>
        <v>1000</v>
      </c>
      <c r="I308" s="118">
        <f>IFERROR(__xludf.DUMMYFUNCTION("""COMPUTED_VALUE"""),10000.0)</f>
        <v>10000</v>
      </c>
      <c r="J308" s="16"/>
      <c r="K308" s="16"/>
      <c r="L308" s="16"/>
      <c r="M308" s="16"/>
      <c r="N308" s="16"/>
      <c r="O308" s="118">
        <f>IFERROR(__xludf.DUMMYFUNCTION("""COMPUTED_VALUE"""),10000.0)</f>
        <v>10000</v>
      </c>
      <c r="P308" s="16"/>
      <c r="Q308" s="16"/>
      <c r="R308" s="118">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7">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7">
        <f>IFERROR(__xludf.DUMMYFUNCTION("""COMPUTED_VALUE"""),7800000.0)</f>
        <v>7800000</v>
      </c>
      <c r="G310" s="16" t="str">
        <f>IFERROR(__xludf.DUMMYFUNCTION("""COMPUTED_VALUE"""),"DMG")</f>
        <v>DMG</v>
      </c>
      <c r="H310" s="118">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7">
        <f>IFERROR(__xludf.DUMMYFUNCTION("""COMPUTED_VALUE"""),7.98E8)</f>
        <v>798000000</v>
      </c>
      <c r="G311" s="16" t="str">
        <f>IFERROR(__xludf.DUMMYFUNCTION("""COMPUTED_VALUE"""),"DMG")</f>
        <v>DMG</v>
      </c>
      <c r="H311" s="118">
        <f>IFERROR(__xludf.DUMMYFUNCTION("""COMPUTED_VALUE"""),50000.0)</f>
        <v>50000</v>
      </c>
      <c r="I311" s="118">
        <f>IFERROR(__xludf.DUMMYFUNCTION("""COMPUTED_VALUE"""),50000.0)</f>
        <v>50000</v>
      </c>
      <c r="J311" s="16"/>
      <c r="K311" s="16"/>
      <c r="L311" s="16"/>
      <c r="M311" s="16"/>
      <c r="N311" s="16"/>
      <c r="O311" s="118">
        <f>IFERROR(__xludf.DUMMYFUNCTION("""COMPUTED_VALUE"""),50000.0)</f>
        <v>50000</v>
      </c>
      <c r="P311" s="16"/>
      <c r="Q311" s="16"/>
      <c r="R311" s="16"/>
      <c r="S311" s="16"/>
      <c r="T311" s="16"/>
      <c r="U311" s="16"/>
      <c r="V311" s="16"/>
      <c r="W311" s="16"/>
      <c r="X311" s="16"/>
      <c r="Y311" s="16"/>
      <c r="Z311" s="16"/>
      <c r="AA311" s="16"/>
      <c r="AB311" s="16"/>
      <c r="AC311" s="118">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7">
        <f>IFERROR(__xludf.DUMMYFUNCTION("""COMPUTED_VALUE"""),7800000.0)</f>
        <v>7800000</v>
      </c>
      <c r="G312" s="16" t="str">
        <f>IFERROR(__xludf.DUMMYFUNCTION("""COMPUTED_VALUE"""),"DEF")</f>
        <v>DEF</v>
      </c>
      <c r="H312" s="118">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7">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7">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7">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7">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7">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7">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7">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7">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7">
        <f>IFERROR(__xludf.DUMMYFUNCTION("""COMPUTED_VALUE"""),1.77E7)</f>
        <v>17700000</v>
      </c>
      <c r="G321" s="16" t="str">
        <f>IFERROR(__xludf.DUMMYFUNCTION("""COMPUTED_VALUE"""),"DMG")</f>
        <v>DMG</v>
      </c>
      <c r="H321" s="118">
        <f>IFERROR(__xludf.DUMMYFUNCTION("""COMPUTED_VALUE"""),20000.0)</f>
        <v>20000</v>
      </c>
      <c r="I321" s="16"/>
      <c r="J321" s="16"/>
      <c r="K321" s="16"/>
      <c r="L321" s="16"/>
      <c r="M321" s="16"/>
      <c r="N321" s="16"/>
      <c r="O321" s="16"/>
      <c r="P321" s="16"/>
      <c r="Q321" s="16"/>
      <c r="R321" s="118">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7">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7">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7">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7">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7">
        <f>IFERROR(__xludf.DUMMYFUNCTION("""COMPUTED_VALUE"""),7800000.0)</f>
        <v>7800000</v>
      </c>
      <c r="G326" s="16" t="str">
        <f>IFERROR(__xludf.DUMMYFUNCTION("""COMPUTED_VALUE"""),"DMG")</f>
        <v>DMG</v>
      </c>
      <c r="H326" s="118">
        <f>IFERROR(__xludf.DUMMYFUNCTION("""COMPUTED_VALUE"""),10000.0)</f>
        <v>10000</v>
      </c>
      <c r="I326" s="16"/>
      <c r="J326" s="16"/>
      <c r="K326" s="16"/>
      <c r="L326" s="16"/>
      <c r="M326" s="16"/>
      <c r="N326" s="16"/>
      <c r="O326" s="16"/>
      <c r="P326" s="16"/>
      <c r="Q326" s="16"/>
      <c r="R326" s="16"/>
      <c r="S326" s="118">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7">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7">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7">
        <f>IFERROR(__xludf.DUMMYFUNCTION("""COMPUTED_VALUE"""),4.485E8)</f>
        <v>448500000</v>
      </c>
      <c r="G329" s="16" t="str">
        <f>IFERROR(__xludf.DUMMYFUNCTION("""COMPUTED_VALUE"""),"DMG")</f>
        <v>DMG</v>
      </c>
      <c r="H329" s="118">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8">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7">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7">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7">
        <f>IFERROR(__xludf.DUMMYFUNCTION("""COMPUTED_VALUE"""),1900000.0)</f>
        <v>1900000</v>
      </c>
      <c r="G332" s="16" t="str">
        <f>IFERROR(__xludf.DUMMYFUNCTION("""COMPUTED_VALUE"""),"DMG")</f>
        <v>DMG</v>
      </c>
      <c r="H332" s="118">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7">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7">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7">
        <f>IFERROR(__xludf.DUMMYFUNCTION("""COMPUTED_VALUE"""),1900000.0)</f>
        <v>1900000</v>
      </c>
      <c r="G335" s="16"/>
      <c r="H335" s="16"/>
      <c r="I335" s="16"/>
      <c r="J335" s="16"/>
      <c r="K335" s="16"/>
      <c r="L335" s="16"/>
      <c r="M335" s="118">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7">
        <f>IFERROR(__xludf.DUMMYFUNCTION("""COMPUTED_VALUE"""),7800000.0)</f>
        <v>7800000</v>
      </c>
      <c r="G336" s="16" t="str">
        <f>IFERROR(__xludf.DUMMYFUNCTION("""COMPUTED_VALUE"""),"DMG")</f>
        <v>DMG</v>
      </c>
      <c r="H336" s="118">
        <f>IFERROR(__xludf.DUMMYFUNCTION("""COMPUTED_VALUE"""),10000.0)</f>
        <v>10000</v>
      </c>
      <c r="I336" s="16"/>
      <c r="J336" s="16"/>
      <c r="K336" s="16"/>
      <c r="L336" s="16"/>
      <c r="M336" s="16"/>
      <c r="N336" s="16"/>
      <c r="O336" s="16"/>
      <c r="P336" s="16"/>
      <c r="Q336" s="16"/>
      <c r="R336" s="16"/>
      <c r="S336" s="16"/>
      <c r="T336" s="16"/>
      <c r="U336" s="16"/>
      <c r="V336" s="16"/>
      <c r="W336" s="118">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7">
        <f>IFERROR(__xludf.DUMMYFUNCTION("""COMPUTED_VALUE"""),4.95E7)</f>
        <v>49500000</v>
      </c>
      <c r="G337" s="16" t="str">
        <f>IFERROR(__xludf.DUMMYFUNCTION("""COMPUTED_VALUE"""),"DMG")</f>
        <v>DMG</v>
      </c>
      <c r="H337" s="118">
        <f>IFERROR(__xludf.DUMMYFUNCTION("""COMPUTED_VALUE"""),20000.0)</f>
        <v>20000</v>
      </c>
      <c r="I337" s="16"/>
      <c r="J337" s="16"/>
      <c r="K337" s="16"/>
      <c r="L337" s="16"/>
      <c r="M337" s="16"/>
      <c r="N337" s="16"/>
      <c r="O337" s="16"/>
      <c r="P337" s="16"/>
      <c r="Q337" s="16"/>
      <c r="R337" s="16"/>
      <c r="S337" s="16"/>
      <c r="T337" s="16"/>
      <c r="U337" s="16"/>
      <c r="V337" s="16"/>
      <c r="W337" s="118">
        <f>IFERROR(__xludf.DUMMYFUNCTION("""COMPUTED_VALUE"""),20000.0)</f>
        <v>20000</v>
      </c>
      <c r="X337" s="16"/>
      <c r="Y337" s="16"/>
      <c r="Z337" s="16"/>
      <c r="AA337" s="16"/>
      <c r="AB337" s="16"/>
      <c r="AC337" s="118">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7">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7">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7">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7">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7">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7">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7">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7">
        <f>IFERROR(__xludf.DUMMYFUNCTION("""COMPUTED_VALUE"""),4.995E9)</f>
        <v>4995000000</v>
      </c>
      <c r="G345" s="16" t="str">
        <f>IFERROR(__xludf.DUMMYFUNCTION("""COMPUTED_VALUE"""),"DMG")</f>
        <v>DMG</v>
      </c>
      <c r="H345" s="118">
        <f>IFERROR(__xludf.DUMMYFUNCTION("""COMPUTED_VALUE"""),100000.0)</f>
        <v>100000</v>
      </c>
      <c r="I345" s="118">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8">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7">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7">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7">
        <f>IFERROR(__xludf.DUMMYFUNCTION("""COMPUTED_VALUE"""),450000.0)</f>
        <v>450000</v>
      </c>
      <c r="G348" s="16" t="str">
        <f>IFERROR(__xludf.DUMMYFUNCTION("""COMPUTED_VALUE"""),"DEF")</f>
        <v>DEF</v>
      </c>
      <c r="H348" s="118">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7">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7">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7">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7">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7">
        <f>IFERROR(__xludf.DUMMYFUNCTION("""COMPUTED_VALUE"""),3.196E9)</f>
        <v>3196000000</v>
      </c>
      <c r="G353" s="16" t="str">
        <f>IFERROR(__xludf.DUMMYFUNCTION("""COMPUTED_VALUE"""),"DMG")</f>
        <v>DMG</v>
      </c>
      <c r="H353" s="118">
        <f>IFERROR(__xludf.DUMMYFUNCTION("""COMPUTED_VALUE"""),100000.0)</f>
        <v>100000</v>
      </c>
      <c r="I353" s="16"/>
      <c r="J353" s="16"/>
      <c r="K353" s="16"/>
      <c r="L353" s="16"/>
      <c r="M353" s="118">
        <f>IFERROR(__xludf.DUMMYFUNCTION("""COMPUTED_VALUE"""),50000.0)</f>
        <v>50000</v>
      </c>
      <c r="N353" s="118">
        <f>IFERROR(__xludf.DUMMYFUNCTION("""COMPUTED_VALUE"""),50000.0)</f>
        <v>50000</v>
      </c>
      <c r="O353" s="16"/>
      <c r="P353" s="118">
        <f>IFERROR(__xludf.DUMMYFUNCTION("""COMPUTED_VALUE"""),50000.0)</f>
        <v>50000</v>
      </c>
      <c r="Q353" s="118">
        <f>IFERROR(__xludf.DUMMYFUNCTION("""COMPUTED_VALUE"""),50000.0)</f>
        <v>50000</v>
      </c>
      <c r="R353" s="16"/>
      <c r="S353" s="118">
        <f>IFERROR(__xludf.DUMMYFUNCTION("""COMPUTED_VALUE"""),50000.0)</f>
        <v>50000</v>
      </c>
      <c r="T353" s="16"/>
      <c r="U353" s="16"/>
      <c r="V353" s="16"/>
      <c r="W353" s="16"/>
      <c r="X353" s="16"/>
      <c r="Y353" s="16"/>
      <c r="Z353" s="16"/>
      <c r="AA353" s="16"/>
      <c r="AB353" s="16"/>
      <c r="AC353" s="118">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7">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7">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7">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7">
        <f>IFERROR(__xludf.DUMMYFUNCTION("""COMPUTED_VALUE"""),1.1175E8)</f>
        <v>111750000</v>
      </c>
      <c r="G357" s="16" t="str">
        <f>IFERROR(__xludf.DUMMYFUNCTION("""COMPUTED_VALUE"""),"DEF")</f>
        <v>DEF</v>
      </c>
      <c r="H357" s="118">
        <f>IFERROR(__xludf.DUMMYFUNCTION("""COMPUTED_VALUE"""),25000.0)</f>
        <v>25000</v>
      </c>
      <c r="I357" s="16"/>
      <c r="J357" s="16"/>
      <c r="K357" s="16"/>
      <c r="L357" s="16"/>
      <c r="M357" s="16"/>
      <c r="N357" s="118">
        <f>IFERROR(__xludf.DUMMYFUNCTION("""COMPUTED_VALUE"""),25000.0)</f>
        <v>25000</v>
      </c>
      <c r="O357" s="16"/>
      <c r="P357" s="16"/>
      <c r="Q357" s="16"/>
      <c r="R357" s="16"/>
      <c r="S357" s="16"/>
      <c r="T357" s="16"/>
      <c r="U357" s="16"/>
      <c r="V357" s="16"/>
      <c r="W357" s="16"/>
      <c r="X357" s="16"/>
      <c r="Y357" s="16"/>
      <c r="Z357" s="16"/>
      <c r="AA357" s="16"/>
      <c r="AB357" s="16"/>
      <c r="AC357" s="118">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7">
        <f>IFERROR(__xludf.DUMMYFUNCTION("""COMPUTED_VALUE"""),1.1175E8)</f>
        <v>111750000</v>
      </c>
      <c r="G358" s="16" t="str">
        <f>IFERROR(__xludf.DUMMYFUNCTION("""COMPUTED_VALUE"""),"DEF")</f>
        <v>DEF</v>
      </c>
      <c r="H358" s="118">
        <f>IFERROR(__xludf.DUMMYFUNCTION("""COMPUTED_VALUE"""),25000.0)</f>
        <v>25000</v>
      </c>
      <c r="I358" s="16"/>
      <c r="J358" s="16"/>
      <c r="K358" s="16"/>
      <c r="L358" s="16"/>
      <c r="M358" s="16"/>
      <c r="N358" s="118">
        <f>IFERROR(__xludf.DUMMYFUNCTION("""COMPUTED_VALUE"""),25000.0)</f>
        <v>25000</v>
      </c>
      <c r="O358" s="16"/>
      <c r="P358" s="16"/>
      <c r="Q358" s="16"/>
      <c r="R358" s="16"/>
      <c r="S358" s="16"/>
      <c r="T358" s="16"/>
      <c r="U358" s="16"/>
      <c r="V358" s="16"/>
      <c r="W358" s="16"/>
      <c r="X358" s="16"/>
      <c r="Y358" s="16"/>
      <c r="Z358" s="16"/>
      <c r="AA358" s="16"/>
      <c r="AB358" s="16"/>
      <c r="AC358" s="118">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7">
        <f>IFERROR(__xludf.DUMMYFUNCTION("""COMPUTED_VALUE"""),4.485E8)</f>
        <v>448500000</v>
      </c>
      <c r="G359" s="16" t="str">
        <f>IFERROR(__xludf.DUMMYFUNCTION("""COMPUTED_VALUE"""),"DEF")</f>
        <v>DEF</v>
      </c>
      <c r="H359" s="118">
        <f>IFERROR(__xludf.DUMMYFUNCTION("""COMPUTED_VALUE"""),50000.0)</f>
        <v>50000</v>
      </c>
      <c r="I359" s="16"/>
      <c r="J359" s="16"/>
      <c r="K359" s="16"/>
      <c r="L359" s="16"/>
      <c r="M359" s="16"/>
      <c r="N359" s="118">
        <f>IFERROR(__xludf.DUMMYFUNCTION("""COMPUTED_VALUE"""),50000.0)</f>
        <v>50000</v>
      </c>
      <c r="O359" s="16"/>
      <c r="P359" s="16"/>
      <c r="Q359" s="16"/>
      <c r="R359" s="16"/>
      <c r="S359" s="16"/>
      <c r="T359" s="16"/>
      <c r="U359" s="16"/>
      <c r="V359" s="16"/>
      <c r="W359" s="16"/>
      <c r="X359" s="16"/>
      <c r="Y359" s="16"/>
      <c r="Z359" s="16"/>
      <c r="AA359" s="16"/>
      <c r="AB359" s="16"/>
      <c r="AC359" s="118">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7">
        <f>IFERROR(__xludf.DUMMYFUNCTION("""COMPUTED_VALUE"""),4.485E8)</f>
        <v>448500000</v>
      </c>
      <c r="G360" s="16" t="str">
        <f>IFERROR(__xludf.DUMMYFUNCTION("""COMPUTED_VALUE"""),"DEF")</f>
        <v>DEF</v>
      </c>
      <c r="H360" s="118">
        <f>IFERROR(__xludf.DUMMYFUNCTION("""COMPUTED_VALUE"""),50000.0)</f>
        <v>50000</v>
      </c>
      <c r="I360" s="16"/>
      <c r="J360" s="16"/>
      <c r="K360" s="16"/>
      <c r="L360" s="16"/>
      <c r="M360" s="16"/>
      <c r="N360" s="118">
        <f>IFERROR(__xludf.DUMMYFUNCTION("""COMPUTED_VALUE"""),50000.0)</f>
        <v>50000</v>
      </c>
      <c r="O360" s="16"/>
      <c r="P360" s="16"/>
      <c r="Q360" s="16"/>
      <c r="R360" s="16"/>
      <c r="S360" s="16"/>
      <c r="T360" s="16"/>
      <c r="U360" s="16"/>
      <c r="V360" s="16"/>
      <c r="W360" s="16"/>
      <c r="X360" s="16"/>
      <c r="Y360" s="16"/>
      <c r="Z360" s="16"/>
      <c r="AA360" s="16"/>
      <c r="AB360" s="16"/>
      <c r="AC360" s="118">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7">
        <f>IFERROR(__xludf.DUMMYFUNCTION("""COMPUTED_VALUE"""),3.196E9)</f>
        <v>3196000000</v>
      </c>
      <c r="G361" s="16" t="str">
        <f>IFERROR(__xludf.DUMMYFUNCTION("""COMPUTED_VALUE"""),"DEF")</f>
        <v>DEF</v>
      </c>
      <c r="H361" s="118">
        <f>IFERROR(__xludf.DUMMYFUNCTION("""COMPUTED_VALUE"""),100000.0)</f>
        <v>100000</v>
      </c>
      <c r="I361" s="16"/>
      <c r="J361" s="16"/>
      <c r="K361" s="16"/>
      <c r="L361" s="16"/>
      <c r="M361" s="16"/>
      <c r="N361" s="118">
        <f>IFERROR(__xludf.DUMMYFUNCTION("""COMPUTED_VALUE"""),100000.0)</f>
        <v>100000</v>
      </c>
      <c r="O361" s="118">
        <f>IFERROR(__xludf.DUMMYFUNCTION("""COMPUTED_VALUE"""),100000.0)</f>
        <v>100000</v>
      </c>
      <c r="P361" s="16"/>
      <c r="Q361" s="16"/>
      <c r="R361" s="16"/>
      <c r="S361" s="16"/>
      <c r="T361" s="16"/>
      <c r="U361" s="16"/>
      <c r="V361" s="16"/>
      <c r="W361" s="16"/>
      <c r="X361" s="16"/>
      <c r="Y361" s="16"/>
      <c r="Z361" s="16"/>
      <c r="AA361" s="16"/>
      <c r="AB361" s="16"/>
      <c r="AC361" s="118">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7">
        <f>IFERROR(__xludf.DUMMYFUNCTION("""COMPUTED_VALUE"""),3.196E9)</f>
        <v>3196000000</v>
      </c>
      <c r="G362" s="16" t="str">
        <f>IFERROR(__xludf.DUMMYFUNCTION("""COMPUTED_VALUE"""),"DEF")</f>
        <v>DEF</v>
      </c>
      <c r="H362" s="118">
        <f>IFERROR(__xludf.DUMMYFUNCTION("""COMPUTED_VALUE"""),100000.0)</f>
        <v>100000</v>
      </c>
      <c r="I362" s="16"/>
      <c r="J362" s="16"/>
      <c r="K362" s="16"/>
      <c r="L362" s="16"/>
      <c r="M362" s="16"/>
      <c r="N362" s="118">
        <f>IFERROR(__xludf.DUMMYFUNCTION("""COMPUTED_VALUE"""),100000.0)</f>
        <v>100000</v>
      </c>
      <c r="O362" s="118">
        <f>IFERROR(__xludf.DUMMYFUNCTION("""COMPUTED_VALUE"""),100000.0)</f>
        <v>100000</v>
      </c>
      <c r="P362" s="16"/>
      <c r="Q362" s="16"/>
      <c r="R362" s="16"/>
      <c r="S362" s="16"/>
      <c r="T362" s="16"/>
      <c r="U362" s="16"/>
      <c r="V362" s="16"/>
      <c r="W362" s="16"/>
      <c r="X362" s="16"/>
      <c r="Y362" s="16"/>
      <c r="Z362" s="16"/>
      <c r="AA362" s="16"/>
      <c r="AB362" s="16"/>
      <c r="AC362" s="118">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7">
        <f>IFERROR(__xludf.DUMMYFUNCTION("""COMPUTED_VALUE"""),7.98E8)</f>
        <v>798000000</v>
      </c>
      <c r="G363" s="16" t="str">
        <f>IFERROR(__xludf.DUMMYFUNCTION("""COMPUTED_VALUE"""),"DEF")</f>
        <v>DEF</v>
      </c>
      <c r="H363" s="118">
        <f>IFERROR(__xludf.DUMMYFUNCTION("""COMPUTED_VALUE"""),50000.0)</f>
        <v>50000</v>
      </c>
      <c r="I363" s="16"/>
      <c r="J363" s="16"/>
      <c r="K363" s="16"/>
      <c r="L363" s="16"/>
      <c r="M363" s="16"/>
      <c r="N363" s="118">
        <f>IFERROR(__xludf.DUMMYFUNCTION("""COMPUTED_VALUE"""),50000.0)</f>
        <v>50000</v>
      </c>
      <c r="O363" s="118">
        <f>IFERROR(__xludf.DUMMYFUNCTION("""COMPUTED_VALUE"""),50000.0)</f>
        <v>50000</v>
      </c>
      <c r="P363" s="16"/>
      <c r="Q363" s="16"/>
      <c r="R363" s="16"/>
      <c r="S363" s="16"/>
      <c r="T363" s="16"/>
      <c r="U363" s="16"/>
      <c r="V363" s="16"/>
      <c r="W363" s="16"/>
      <c r="X363" s="16"/>
      <c r="Y363" s="16"/>
      <c r="Z363" s="16"/>
      <c r="AA363" s="16"/>
      <c r="AB363" s="16"/>
      <c r="AC363" s="118">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7">
        <f>IFERROR(__xludf.DUMMYFUNCTION("""COMPUTED_VALUE"""),1.1175E8)</f>
        <v>111750000</v>
      </c>
      <c r="G364" s="16" t="str">
        <f>IFERROR(__xludf.DUMMYFUNCTION("""COMPUTED_VALUE"""),"DEF")</f>
        <v>DEF</v>
      </c>
      <c r="H364" s="118">
        <f>IFERROR(__xludf.DUMMYFUNCTION("""COMPUTED_VALUE"""),25000.0)</f>
        <v>25000</v>
      </c>
      <c r="I364" s="16"/>
      <c r="J364" s="16"/>
      <c r="K364" s="16"/>
      <c r="L364" s="16"/>
      <c r="M364" s="16"/>
      <c r="N364" s="118">
        <f>IFERROR(__xludf.DUMMYFUNCTION("""COMPUTED_VALUE"""),25000.0)</f>
        <v>25000</v>
      </c>
      <c r="O364" s="16"/>
      <c r="P364" s="16"/>
      <c r="Q364" s="16"/>
      <c r="R364" s="16"/>
      <c r="S364" s="16"/>
      <c r="T364" s="16"/>
      <c r="U364" s="16"/>
      <c r="V364" s="16"/>
      <c r="W364" s="16"/>
      <c r="X364" s="16"/>
      <c r="Y364" s="16"/>
      <c r="Z364" s="16"/>
      <c r="AA364" s="16"/>
      <c r="AB364" s="16"/>
      <c r="AC364" s="118">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7">
        <f>IFERROR(__xludf.DUMMYFUNCTION("""COMPUTED_VALUE"""),1.1175E8)</f>
        <v>111750000</v>
      </c>
      <c r="G365" s="16" t="str">
        <f>IFERROR(__xludf.DUMMYFUNCTION("""COMPUTED_VALUE"""),"DEF")</f>
        <v>DEF</v>
      </c>
      <c r="H365" s="118">
        <f>IFERROR(__xludf.DUMMYFUNCTION("""COMPUTED_VALUE"""),25000.0)</f>
        <v>25000</v>
      </c>
      <c r="I365" s="16"/>
      <c r="J365" s="16"/>
      <c r="K365" s="16"/>
      <c r="L365" s="16"/>
      <c r="M365" s="16"/>
      <c r="N365" s="118">
        <f>IFERROR(__xludf.DUMMYFUNCTION("""COMPUTED_VALUE"""),25000.0)</f>
        <v>25000</v>
      </c>
      <c r="O365" s="16"/>
      <c r="P365" s="16"/>
      <c r="Q365" s="16"/>
      <c r="R365" s="16"/>
      <c r="S365" s="16"/>
      <c r="T365" s="16"/>
      <c r="U365" s="16"/>
      <c r="V365" s="16"/>
      <c r="W365" s="16"/>
      <c r="X365" s="16"/>
      <c r="Y365" s="16"/>
      <c r="Z365" s="16"/>
      <c r="AA365" s="16"/>
      <c r="AB365" s="16"/>
      <c r="AC365" s="118">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7">
        <f>IFERROR(__xludf.DUMMYFUNCTION("""COMPUTED_VALUE"""),3.196E9)</f>
        <v>3196000000</v>
      </c>
      <c r="G366" s="16" t="str">
        <f>IFERROR(__xludf.DUMMYFUNCTION("""COMPUTED_VALUE"""),"DEF")</f>
        <v>DEF</v>
      </c>
      <c r="H366" s="118">
        <f>IFERROR(__xludf.DUMMYFUNCTION("""COMPUTED_VALUE"""),100000.0)</f>
        <v>100000</v>
      </c>
      <c r="I366" s="16"/>
      <c r="J366" s="16"/>
      <c r="K366" s="16"/>
      <c r="L366" s="16"/>
      <c r="M366" s="16"/>
      <c r="N366" s="118">
        <f>IFERROR(__xludf.DUMMYFUNCTION("""COMPUTED_VALUE"""),100000.0)</f>
        <v>100000</v>
      </c>
      <c r="O366" s="118">
        <f>IFERROR(__xludf.DUMMYFUNCTION("""COMPUTED_VALUE"""),100000.0)</f>
        <v>100000</v>
      </c>
      <c r="P366" s="16"/>
      <c r="Q366" s="16"/>
      <c r="R366" s="16"/>
      <c r="S366" s="16"/>
      <c r="T366" s="16"/>
      <c r="U366" s="16"/>
      <c r="V366" s="16"/>
      <c r="W366" s="16"/>
      <c r="X366" s="16"/>
      <c r="Y366" s="16"/>
      <c r="Z366" s="16"/>
      <c r="AA366" s="16"/>
      <c r="AB366" s="16"/>
      <c r="AC366" s="118">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7">
        <f>IFERROR(__xludf.DUMMYFUNCTION("""COMPUTED_VALUE"""),3.196E9)</f>
        <v>3196000000</v>
      </c>
      <c r="G367" s="16" t="str">
        <f>IFERROR(__xludf.DUMMYFUNCTION("""COMPUTED_VALUE"""),"DEF")</f>
        <v>DEF</v>
      </c>
      <c r="H367" s="118">
        <f>IFERROR(__xludf.DUMMYFUNCTION("""COMPUTED_VALUE"""),100000.0)</f>
        <v>100000</v>
      </c>
      <c r="I367" s="16"/>
      <c r="J367" s="16"/>
      <c r="K367" s="16"/>
      <c r="L367" s="16"/>
      <c r="M367" s="16"/>
      <c r="N367" s="118">
        <f>IFERROR(__xludf.DUMMYFUNCTION("""COMPUTED_VALUE"""),100000.0)</f>
        <v>100000</v>
      </c>
      <c r="O367" s="118">
        <f>IFERROR(__xludf.DUMMYFUNCTION("""COMPUTED_VALUE"""),100000.0)</f>
        <v>100000</v>
      </c>
      <c r="P367" s="16"/>
      <c r="Q367" s="16"/>
      <c r="R367" s="16"/>
      <c r="S367" s="16"/>
      <c r="T367" s="16"/>
      <c r="U367" s="16"/>
      <c r="V367" s="16"/>
      <c r="W367" s="16"/>
      <c r="X367" s="16"/>
      <c r="Y367" s="16"/>
      <c r="Z367" s="16"/>
      <c r="AA367" s="16"/>
      <c r="AB367" s="16"/>
      <c r="AC367" s="118">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7">
        <f>IFERROR(__xludf.DUMMYFUNCTION("""COMPUTED_VALUE"""),3.196E9)</f>
        <v>3196000000</v>
      </c>
      <c r="G368" s="16" t="str">
        <f>IFERROR(__xludf.DUMMYFUNCTION("""COMPUTED_VALUE"""),"DEF")</f>
        <v>DEF</v>
      </c>
      <c r="H368" s="118">
        <f>IFERROR(__xludf.DUMMYFUNCTION("""COMPUTED_VALUE"""),100000.0)</f>
        <v>100000</v>
      </c>
      <c r="I368" s="16"/>
      <c r="J368" s="16"/>
      <c r="K368" s="16"/>
      <c r="L368" s="16"/>
      <c r="M368" s="16"/>
      <c r="N368" s="118">
        <f>IFERROR(__xludf.DUMMYFUNCTION("""COMPUTED_VALUE"""),100000.0)</f>
        <v>100000</v>
      </c>
      <c r="O368" s="118">
        <f>IFERROR(__xludf.DUMMYFUNCTION("""COMPUTED_VALUE"""),100000.0)</f>
        <v>100000</v>
      </c>
      <c r="P368" s="16"/>
      <c r="Q368" s="16"/>
      <c r="R368" s="16"/>
      <c r="S368" s="16"/>
      <c r="T368" s="16"/>
      <c r="U368" s="16"/>
      <c r="V368" s="16"/>
      <c r="W368" s="16"/>
      <c r="X368" s="16"/>
      <c r="Y368" s="16"/>
      <c r="Z368" s="16"/>
      <c r="AA368" s="16"/>
      <c r="AB368" s="16"/>
      <c r="AC368" s="118">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7">
        <f>IFERROR(__xludf.DUMMYFUNCTION("""COMPUTED_VALUE"""),3.196E9)</f>
        <v>3196000000</v>
      </c>
      <c r="G369" s="16" t="str">
        <f>IFERROR(__xludf.DUMMYFUNCTION("""COMPUTED_VALUE"""),"DEF")</f>
        <v>DEF</v>
      </c>
      <c r="H369" s="118">
        <f>IFERROR(__xludf.DUMMYFUNCTION("""COMPUTED_VALUE"""),100000.0)</f>
        <v>100000</v>
      </c>
      <c r="I369" s="16"/>
      <c r="J369" s="16"/>
      <c r="K369" s="16"/>
      <c r="L369" s="16"/>
      <c r="M369" s="16"/>
      <c r="N369" s="118">
        <f>IFERROR(__xludf.DUMMYFUNCTION("""COMPUTED_VALUE"""),100000.0)</f>
        <v>100000</v>
      </c>
      <c r="O369" s="118">
        <f>IFERROR(__xludf.DUMMYFUNCTION("""COMPUTED_VALUE"""),100000.0)</f>
        <v>100000</v>
      </c>
      <c r="P369" s="16"/>
      <c r="Q369" s="16"/>
      <c r="R369" s="16"/>
      <c r="S369" s="16"/>
      <c r="T369" s="16"/>
      <c r="U369" s="16"/>
      <c r="V369" s="16"/>
      <c r="W369" s="16"/>
      <c r="X369" s="16"/>
      <c r="Y369" s="16"/>
      <c r="Z369" s="16"/>
      <c r="AA369" s="16"/>
      <c r="AB369" s="16"/>
      <c r="AC369" s="118">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7">
        <f>IFERROR(__xludf.DUMMYFUNCTION("""COMPUTED_VALUE"""),1.1175E8)</f>
        <v>111750000</v>
      </c>
      <c r="G370" s="16" t="str">
        <f>IFERROR(__xludf.DUMMYFUNCTION("""COMPUTED_VALUE"""),"DEF")</f>
        <v>DEF</v>
      </c>
      <c r="H370" s="118">
        <f>IFERROR(__xludf.DUMMYFUNCTION("""COMPUTED_VALUE"""),25000.0)</f>
        <v>25000</v>
      </c>
      <c r="I370" s="16"/>
      <c r="J370" s="16"/>
      <c r="K370" s="16"/>
      <c r="L370" s="16"/>
      <c r="M370" s="16"/>
      <c r="N370" s="118">
        <f>IFERROR(__xludf.DUMMYFUNCTION("""COMPUTED_VALUE"""),25000.0)</f>
        <v>25000</v>
      </c>
      <c r="O370" s="16"/>
      <c r="P370" s="16"/>
      <c r="Q370" s="16"/>
      <c r="R370" s="16"/>
      <c r="S370" s="16"/>
      <c r="T370" s="16"/>
      <c r="U370" s="16"/>
      <c r="V370" s="16"/>
      <c r="W370" s="16"/>
      <c r="X370" s="16"/>
      <c r="Y370" s="16"/>
      <c r="Z370" s="16"/>
      <c r="AA370" s="16"/>
      <c r="AB370" s="16"/>
      <c r="AC370" s="118">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7">
        <f>IFERROR(__xludf.DUMMYFUNCTION("""COMPUTED_VALUE"""),1900000.0)</f>
        <v>1900000</v>
      </c>
      <c r="G371" s="16" t="str">
        <f>IFERROR(__xludf.DUMMYFUNCTION("""COMPUTED_VALUE"""),"DMG")</f>
        <v>DMG</v>
      </c>
      <c r="H371" s="118">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7">
        <f>IFERROR(__xludf.DUMMYFUNCTION("""COMPUTED_VALUE"""),7800000.0)</f>
        <v>7800000</v>
      </c>
      <c r="G372" s="16" t="str">
        <f>IFERROR(__xludf.DUMMYFUNCTION("""COMPUTED_VALUE"""),"DMG")</f>
        <v>DMG</v>
      </c>
      <c r="H372" s="118">
        <f>IFERROR(__xludf.DUMMYFUNCTION("""COMPUTED_VALUE"""),10000.0)</f>
        <v>10000</v>
      </c>
      <c r="I372" s="16"/>
      <c r="J372" s="16"/>
      <c r="K372" s="16"/>
      <c r="L372" s="16"/>
      <c r="M372" s="16"/>
      <c r="N372" s="16"/>
      <c r="O372" s="16"/>
      <c r="P372" s="16"/>
      <c r="Q372" s="16"/>
      <c r="R372" s="16"/>
      <c r="S372" s="16"/>
      <c r="T372" s="16"/>
      <c r="U372" s="16"/>
      <c r="V372" s="16"/>
      <c r="W372" s="16"/>
      <c r="X372" s="16"/>
      <c r="Y372" s="118">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7">
        <f>IFERROR(__xludf.DUMMYFUNCTION("""COMPUTED_VALUE"""),1.272E8)</f>
        <v>127200000</v>
      </c>
      <c r="G373" s="16" t="str">
        <f>IFERROR(__xludf.DUMMYFUNCTION("""COMPUTED_VALUE"""),"DMG")</f>
        <v>DMG</v>
      </c>
      <c r="H373" s="118">
        <f>IFERROR(__xludf.DUMMYFUNCTION("""COMPUTED_VALUE"""),40000.0)</f>
        <v>40000</v>
      </c>
      <c r="I373" s="16"/>
      <c r="J373" s="16"/>
      <c r="K373" s="16"/>
      <c r="L373" s="16"/>
      <c r="M373" s="16"/>
      <c r="N373" s="16"/>
      <c r="O373" s="16"/>
      <c r="P373" s="16"/>
      <c r="Q373" s="16"/>
      <c r="R373" s="16"/>
      <c r="S373" s="16"/>
      <c r="T373" s="16"/>
      <c r="U373" s="16"/>
      <c r="V373" s="16"/>
      <c r="W373" s="16"/>
      <c r="X373" s="16"/>
      <c r="Y373" s="118">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7">
        <f>IFERROR(__xludf.DUMMYFUNCTION("""COMPUTED_VALUE"""),7.14E7)</f>
        <v>71400000</v>
      </c>
      <c r="G374" s="16" t="str">
        <f>IFERROR(__xludf.DUMMYFUNCTION("""COMPUTED_VALUE"""),"DMG")</f>
        <v>DMG</v>
      </c>
      <c r="H374" s="118">
        <f>IFERROR(__xludf.DUMMYFUNCTION("""COMPUTED_VALUE"""),30000.0)</f>
        <v>30000</v>
      </c>
      <c r="I374" s="16"/>
      <c r="J374" s="16"/>
      <c r="K374" s="16"/>
      <c r="L374" s="16"/>
      <c r="M374" s="16"/>
      <c r="N374" s="16"/>
      <c r="O374" s="16"/>
      <c r="P374" s="16"/>
      <c r="Q374" s="16"/>
      <c r="R374" s="16"/>
      <c r="S374" s="16"/>
      <c r="T374" s="16"/>
      <c r="U374" s="16"/>
      <c r="V374" s="16"/>
      <c r="W374" s="16"/>
      <c r="X374" s="16"/>
      <c r="Y374" s="118">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7">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7">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7">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7">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7">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7">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7">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7">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7">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7">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7">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7">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7">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7">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7">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7">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7">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7">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7">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7">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7">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7">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7">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7">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7">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7">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7">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7">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7">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7">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7">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7">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7">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7">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7">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7">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7">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7">
        <f>IFERROR(__xludf.DUMMYFUNCTION("""COMPUTED_VALUE"""),1900000.0)</f>
        <v>1900000</v>
      </c>
      <c r="G412" s="16" t="str">
        <f>IFERROR(__xludf.DUMMYFUNCTION("""COMPUTED_VALUE"""),"DEF")</f>
        <v>DEF</v>
      </c>
      <c r="H412" s="118">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7">
        <f>IFERROR(__xludf.DUMMYFUNCTION("""COMPUTED_VALUE"""),1.77E7)</f>
        <v>17700000</v>
      </c>
      <c r="G413" s="16" t="str">
        <f>IFERROR(__xludf.DUMMYFUNCTION("""COMPUTED_VALUE"""),"DMG")</f>
        <v>DMG</v>
      </c>
      <c r="H413" s="118">
        <f>IFERROR(__xludf.DUMMYFUNCTION("""COMPUTED_VALUE"""),10000.0)</f>
        <v>10000</v>
      </c>
      <c r="I413" s="16"/>
      <c r="J413" s="16"/>
      <c r="K413" s="118">
        <f>IFERROR(__xludf.DUMMYFUNCTION("""COMPUTED_VALUE"""),10000.0)</f>
        <v>10000</v>
      </c>
      <c r="L413" s="118">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7">
        <f>IFERROR(__xludf.DUMMYFUNCTION("""COMPUTED_VALUE"""),1.99E8)</f>
        <v>199000000</v>
      </c>
      <c r="G414" s="16" t="str">
        <f>IFERROR(__xludf.DUMMYFUNCTION("""COMPUTED_VALUE"""),"DMG")</f>
        <v>DMG</v>
      </c>
      <c r="H414" s="118">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8">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7">
        <f>IFERROR(__xludf.DUMMYFUNCTION("""COMPUTED_VALUE"""),7800000.0)</f>
        <v>7800000</v>
      </c>
      <c r="G415" s="16" t="str">
        <f>IFERROR(__xludf.DUMMYFUNCTION("""COMPUTED_VALUE"""),"DMG")</f>
        <v>DMG</v>
      </c>
      <c r="H415" s="118">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7">
        <f>IFERROR(__xludf.DUMMYFUNCTION("""COMPUTED_VALUE"""),3.16E7)</f>
        <v>31600000</v>
      </c>
      <c r="G416" s="16" t="str">
        <f>IFERROR(__xludf.DUMMYFUNCTION("""COMPUTED_VALUE"""),"DMG")</f>
        <v>DMG</v>
      </c>
      <c r="H416" s="118">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7">
        <f>IFERROR(__xludf.DUMMYFUNCTION("""COMPUTED_VALUE"""),1.2475E9)</f>
        <v>1247500000</v>
      </c>
      <c r="G417" s="16" t="str">
        <f>IFERROR(__xludf.DUMMYFUNCTION("""COMPUTED_VALUE"""),"DMG")</f>
        <v>DMG</v>
      </c>
      <c r="H417" s="16"/>
      <c r="I417" s="118">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7">
        <f>IFERROR(__xludf.DUMMYFUNCTION("""COMPUTED_VALUE"""),1.225E7)</f>
        <v>12250000</v>
      </c>
      <c r="G418" s="16" t="str">
        <f>IFERROR(__xludf.DUMMYFUNCTION("""COMPUTED_VALUE"""),"DMG")</f>
        <v>DMG</v>
      </c>
      <c r="H418" s="118">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7">
        <f>IFERROR(__xludf.DUMMYFUNCTION("""COMPUTED_VALUE"""),1.225E7)</f>
        <v>12250000</v>
      </c>
      <c r="G419" s="16" t="str">
        <f>IFERROR(__xludf.DUMMYFUNCTION("""COMPUTED_VALUE"""),"DMG")</f>
        <v>DMG</v>
      </c>
      <c r="H419" s="118">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7">
        <f>IFERROR(__xludf.DUMMYFUNCTION("""COMPUTED_VALUE"""),1.99E8)</f>
        <v>199000000</v>
      </c>
      <c r="G420" s="16" t="str">
        <f>IFERROR(__xludf.DUMMYFUNCTION("""COMPUTED_VALUE"""),"DMG")</f>
        <v>DMG</v>
      </c>
      <c r="H420" s="118">
        <f>IFERROR(__xludf.DUMMYFUNCTION("""COMPUTED_VALUE"""),50000.0)</f>
        <v>50000</v>
      </c>
      <c r="I420" s="118">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7">
        <f>IFERROR(__xludf.DUMMYFUNCTION("""COMPUTED_VALUE"""),1.99E8)</f>
        <v>199000000</v>
      </c>
      <c r="G421" s="16" t="str">
        <f>IFERROR(__xludf.DUMMYFUNCTION("""COMPUTED_VALUE"""),"DMG")</f>
        <v>DMG</v>
      </c>
      <c r="H421" s="118">
        <f>IFERROR(__xludf.DUMMYFUNCTION("""COMPUTED_VALUE"""),50000.0)</f>
        <v>50000</v>
      </c>
      <c r="I421" s="118">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7">
        <f>IFERROR(__xludf.DUMMYFUNCTION("""COMPUTED_VALUE"""),7.98E8)</f>
        <v>798000000</v>
      </c>
      <c r="G422" s="16" t="str">
        <f>IFERROR(__xludf.DUMMYFUNCTION("""COMPUTED_VALUE"""),"DMG")</f>
        <v>DMG</v>
      </c>
      <c r="H422" s="118">
        <f>IFERROR(__xludf.DUMMYFUNCTION("""COMPUTED_VALUE"""),50000.0)</f>
        <v>50000</v>
      </c>
      <c r="I422" s="118">
        <f>IFERROR(__xludf.DUMMYFUNCTION("""COMPUTED_VALUE"""),50000.0)</f>
        <v>50000</v>
      </c>
      <c r="J422" s="16"/>
      <c r="K422" s="16"/>
      <c r="L422" s="16"/>
      <c r="M422" s="16"/>
      <c r="N422" s="16"/>
      <c r="O422" s="16"/>
      <c r="P422" s="16"/>
      <c r="Q422" s="118">
        <f>IFERROR(__xludf.DUMMYFUNCTION("""COMPUTED_VALUE"""),50000.0)</f>
        <v>50000</v>
      </c>
      <c r="R422" s="16"/>
      <c r="S422" s="16"/>
      <c r="T422" s="16"/>
      <c r="U422" s="16"/>
      <c r="V422" s="16"/>
      <c r="W422" s="16"/>
      <c r="X422" s="16"/>
      <c r="Y422" s="118">
        <f>IFERROR(__xludf.DUMMYFUNCTION("""COMPUTED_VALUE"""),25000.0)</f>
        <v>25000</v>
      </c>
      <c r="Z422" s="16"/>
      <c r="AA422" s="16"/>
      <c r="AB422" s="16"/>
      <c r="AC422" s="118">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7">
        <f>IFERROR(__xludf.DUMMYFUNCTION("""COMPUTED_VALUE"""),7.98E8)</f>
        <v>798000000</v>
      </c>
      <c r="G423" s="16" t="str">
        <f>IFERROR(__xludf.DUMMYFUNCTION("""COMPUTED_VALUE"""),"DEF")</f>
        <v>DEF</v>
      </c>
      <c r="H423" s="118">
        <f>IFERROR(__xludf.DUMMYFUNCTION("""COMPUTED_VALUE"""),50000.0)</f>
        <v>50000</v>
      </c>
      <c r="I423" s="118">
        <f>IFERROR(__xludf.DUMMYFUNCTION("""COMPUTED_VALUE"""),50000.0)</f>
        <v>50000</v>
      </c>
      <c r="J423" s="16"/>
      <c r="K423" s="16"/>
      <c r="L423" s="16"/>
      <c r="M423" s="16"/>
      <c r="N423" s="16"/>
      <c r="O423" s="16"/>
      <c r="P423" s="16"/>
      <c r="Q423" s="118">
        <f>IFERROR(__xludf.DUMMYFUNCTION("""COMPUTED_VALUE"""),50000.0)</f>
        <v>50000</v>
      </c>
      <c r="R423" s="16"/>
      <c r="S423" s="16"/>
      <c r="T423" s="16"/>
      <c r="U423" s="16"/>
      <c r="V423" s="16"/>
      <c r="W423" s="16"/>
      <c r="X423" s="16"/>
      <c r="Y423" s="118">
        <f>IFERROR(__xludf.DUMMYFUNCTION("""COMPUTED_VALUE"""),25000.0)</f>
        <v>25000</v>
      </c>
      <c r="Z423" s="16"/>
      <c r="AA423" s="16"/>
      <c r="AB423" s="16"/>
      <c r="AC423" s="118">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7">
        <f>IFERROR(__xludf.DUMMYFUNCTION("""COMPUTED_VALUE"""),7.98E8)</f>
        <v>798000000</v>
      </c>
      <c r="G424" s="16" t="str">
        <f>IFERROR(__xludf.DUMMYFUNCTION("""COMPUTED_VALUE"""),"DEF")</f>
        <v>DEF</v>
      </c>
      <c r="H424" s="118">
        <f>IFERROR(__xludf.DUMMYFUNCTION("""COMPUTED_VALUE"""),50000.0)</f>
        <v>50000</v>
      </c>
      <c r="I424" s="118">
        <f>IFERROR(__xludf.DUMMYFUNCTION("""COMPUTED_VALUE"""),50000.0)</f>
        <v>50000</v>
      </c>
      <c r="J424" s="16"/>
      <c r="K424" s="16"/>
      <c r="L424" s="16"/>
      <c r="M424" s="16"/>
      <c r="N424" s="16"/>
      <c r="O424" s="16"/>
      <c r="P424" s="16"/>
      <c r="Q424" s="118">
        <f>IFERROR(__xludf.DUMMYFUNCTION("""COMPUTED_VALUE"""),50000.0)</f>
        <v>50000</v>
      </c>
      <c r="R424" s="16"/>
      <c r="S424" s="16"/>
      <c r="T424" s="16"/>
      <c r="U424" s="16"/>
      <c r="V424" s="16"/>
      <c r="W424" s="16"/>
      <c r="X424" s="16"/>
      <c r="Y424" s="118">
        <f>IFERROR(__xludf.DUMMYFUNCTION("""COMPUTED_VALUE"""),25000.0)</f>
        <v>25000</v>
      </c>
      <c r="Z424" s="16"/>
      <c r="AA424" s="16"/>
      <c r="AB424" s="16"/>
      <c r="AC424" s="118">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7">
        <f>IFERROR(__xludf.DUMMYFUNCTION("""COMPUTED_VALUE"""),7.98E8)</f>
        <v>798000000</v>
      </c>
      <c r="G425" s="16" t="str">
        <f>IFERROR(__xludf.DUMMYFUNCTION("""COMPUTED_VALUE"""),"DEF")</f>
        <v>DEF</v>
      </c>
      <c r="H425" s="118">
        <f>IFERROR(__xludf.DUMMYFUNCTION("""COMPUTED_VALUE"""),50000.0)</f>
        <v>50000</v>
      </c>
      <c r="I425" s="118">
        <f>IFERROR(__xludf.DUMMYFUNCTION("""COMPUTED_VALUE"""),50000.0)</f>
        <v>50000</v>
      </c>
      <c r="J425" s="16"/>
      <c r="K425" s="16"/>
      <c r="L425" s="16"/>
      <c r="M425" s="16"/>
      <c r="N425" s="16"/>
      <c r="O425" s="16"/>
      <c r="P425" s="16"/>
      <c r="Q425" s="118">
        <f>IFERROR(__xludf.DUMMYFUNCTION("""COMPUTED_VALUE"""),50000.0)</f>
        <v>50000</v>
      </c>
      <c r="R425" s="16"/>
      <c r="S425" s="16"/>
      <c r="T425" s="16"/>
      <c r="U425" s="16"/>
      <c r="V425" s="16"/>
      <c r="W425" s="16"/>
      <c r="X425" s="16"/>
      <c r="Y425" s="118">
        <f>IFERROR(__xludf.DUMMYFUNCTION("""COMPUTED_VALUE"""),25000.0)</f>
        <v>25000</v>
      </c>
      <c r="Z425" s="16"/>
      <c r="AA425" s="16"/>
      <c r="AB425" s="16"/>
      <c r="AC425" s="118">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7">
        <f>IFERROR(__xludf.DUMMYFUNCTION("""COMPUTED_VALUE"""),7.98E8)</f>
        <v>798000000</v>
      </c>
      <c r="G426" s="16" t="str">
        <f>IFERROR(__xludf.DUMMYFUNCTION("""COMPUTED_VALUE"""),"DEF")</f>
        <v>DEF</v>
      </c>
      <c r="H426" s="118">
        <f>IFERROR(__xludf.DUMMYFUNCTION("""COMPUTED_VALUE"""),50000.0)</f>
        <v>50000</v>
      </c>
      <c r="I426" s="118">
        <f>IFERROR(__xludf.DUMMYFUNCTION("""COMPUTED_VALUE"""),50000.0)</f>
        <v>50000</v>
      </c>
      <c r="J426" s="16"/>
      <c r="K426" s="16"/>
      <c r="L426" s="16"/>
      <c r="M426" s="16"/>
      <c r="N426" s="16"/>
      <c r="O426" s="16"/>
      <c r="P426" s="16"/>
      <c r="Q426" s="118">
        <f>IFERROR(__xludf.DUMMYFUNCTION("""COMPUTED_VALUE"""),50000.0)</f>
        <v>50000</v>
      </c>
      <c r="R426" s="16"/>
      <c r="S426" s="16"/>
      <c r="T426" s="16"/>
      <c r="U426" s="16"/>
      <c r="V426" s="16"/>
      <c r="W426" s="16"/>
      <c r="X426" s="16"/>
      <c r="Y426" s="118">
        <f>IFERROR(__xludf.DUMMYFUNCTION("""COMPUTED_VALUE"""),25000.0)</f>
        <v>25000</v>
      </c>
      <c r="Z426" s="16"/>
      <c r="AA426" s="16"/>
      <c r="AB426" s="16"/>
      <c r="AC426" s="118">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7">
        <f>IFERROR(__xludf.DUMMYFUNCTION("""COMPUTED_VALUE"""),7.98E8)</f>
        <v>798000000</v>
      </c>
      <c r="G427" s="16" t="str">
        <f>IFERROR(__xludf.DUMMYFUNCTION("""COMPUTED_VALUE"""),"DEF")</f>
        <v>DEF</v>
      </c>
      <c r="H427" s="118">
        <f>IFERROR(__xludf.DUMMYFUNCTION("""COMPUTED_VALUE"""),50000.0)</f>
        <v>50000</v>
      </c>
      <c r="I427" s="118">
        <f>IFERROR(__xludf.DUMMYFUNCTION("""COMPUTED_VALUE"""),50000.0)</f>
        <v>50000</v>
      </c>
      <c r="J427" s="16"/>
      <c r="K427" s="16"/>
      <c r="L427" s="16"/>
      <c r="M427" s="16"/>
      <c r="N427" s="16"/>
      <c r="O427" s="16"/>
      <c r="P427" s="16"/>
      <c r="Q427" s="118">
        <f>IFERROR(__xludf.DUMMYFUNCTION("""COMPUTED_VALUE"""),50000.0)</f>
        <v>50000</v>
      </c>
      <c r="R427" s="16"/>
      <c r="S427" s="16"/>
      <c r="T427" s="16"/>
      <c r="U427" s="16"/>
      <c r="V427" s="16"/>
      <c r="W427" s="16"/>
      <c r="X427" s="16"/>
      <c r="Y427" s="118">
        <f>IFERROR(__xludf.DUMMYFUNCTION("""COMPUTED_VALUE"""),25000.0)</f>
        <v>25000</v>
      </c>
      <c r="Z427" s="16"/>
      <c r="AA427" s="16"/>
      <c r="AB427" s="16"/>
      <c r="AC427" s="118">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7">
        <f>IFERROR(__xludf.DUMMYFUNCTION("""COMPUTED_VALUE"""),7.98E8)</f>
        <v>798000000</v>
      </c>
      <c r="G428" s="16" t="str">
        <f>IFERROR(__xludf.DUMMYFUNCTION("""COMPUTED_VALUE"""),"DEF")</f>
        <v>DEF</v>
      </c>
      <c r="H428" s="118">
        <f>IFERROR(__xludf.DUMMYFUNCTION("""COMPUTED_VALUE"""),50000.0)</f>
        <v>50000</v>
      </c>
      <c r="I428" s="118">
        <f>IFERROR(__xludf.DUMMYFUNCTION("""COMPUTED_VALUE"""),50000.0)</f>
        <v>50000</v>
      </c>
      <c r="J428" s="16"/>
      <c r="K428" s="16"/>
      <c r="L428" s="16"/>
      <c r="M428" s="16"/>
      <c r="N428" s="16"/>
      <c r="O428" s="16"/>
      <c r="P428" s="16"/>
      <c r="Q428" s="118">
        <f>IFERROR(__xludf.DUMMYFUNCTION("""COMPUTED_VALUE"""),50000.0)</f>
        <v>50000</v>
      </c>
      <c r="R428" s="16"/>
      <c r="S428" s="16"/>
      <c r="T428" s="16"/>
      <c r="U428" s="16"/>
      <c r="V428" s="16"/>
      <c r="W428" s="16"/>
      <c r="X428" s="16"/>
      <c r="Y428" s="118">
        <f>IFERROR(__xludf.DUMMYFUNCTION("""COMPUTED_VALUE"""),25000.0)</f>
        <v>25000</v>
      </c>
      <c r="Z428" s="16"/>
      <c r="AA428" s="16"/>
      <c r="AB428" s="16"/>
      <c r="AC428" s="118">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7">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8">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7">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8">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7">
        <f>IFERROR(__xludf.DUMMYFUNCTION("""COMPUTED_VALUE"""),1.272E8)</f>
        <v>127200000</v>
      </c>
      <c r="G431" s="16" t="str">
        <f>IFERROR(__xludf.DUMMYFUNCTION("""COMPUTED_VALUE"""),"DMG")</f>
        <v>DMG</v>
      </c>
      <c r="H431" s="118">
        <f>IFERROR(__xludf.DUMMYFUNCTION("""COMPUTED_VALUE"""),20000.0)</f>
        <v>20000</v>
      </c>
      <c r="I431" s="118">
        <f>IFERROR(__xludf.DUMMYFUNCTION("""COMPUTED_VALUE"""),20000.0)</f>
        <v>20000</v>
      </c>
      <c r="J431" s="16"/>
      <c r="K431" s="118">
        <f>IFERROR(__xludf.DUMMYFUNCTION("""COMPUTED_VALUE"""),20000.0)</f>
        <v>20000</v>
      </c>
      <c r="L431" s="118">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7">
        <f>IFERROR(__xludf.DUMMYFUNCTION("""COMPUTED_VALUE"""),5.104E8)</f>
        <v>510400000</v>
      </c>
      <c r="G432" s="16" t="str">
        <f>IFERROR(__xludf.DUMMYFUNCTION("""COMPUTED_VALUE"""),"DEF")</f>
        <v>DEF</v>
      </c>
      <c r="H432" s="118">
        <f>IFERROR(__xludf.DUMMYFUNCTION("""COMPUTED_VALUE"""),10000.0)</f>
        <v>10000</v>
      </c>
      <c r="I432" s="118">
        <f>IFERROR(__xludf.DUMMYFUNCTION("""COMPUTED_VALUE"""),10000.0)</f>
        <v>10000</v>
      </c>
      <c r="J432" s="118">
        <f>IFERROR(__xludf.DUMMYFUNCTION("""COMPUTED_VALUE"""),10000.0)</f>
        <v>10000</v>
      </c>
      <c r="K432" s="118">
        <f>IFERROR(__xludf.DUMMYFUNCTION("""COMPUTED_VALUE"""),10000.0)</f>
        <v>10000</v>
      </c>
      <c r="L432" s="118">
        <f>IFERROR(__xludf.DUMMYFUNCTION("""COMPUTED_VALUE"""),10000.0)</f>
        <v>10000</v>
      </c>
      <c r="M432" s="118">
        <f>IFERROR(__xludf.DUMMYFUNCTION("""COMPUTED_VALUE"""),10000.0)</f>
        <v>10000</v>
      </c>
      <c r="N432" s="118">
        <f>IFERROR(__xludf.DUMMYFUNCTION("""COMPUTED_VALUE"""),10000.0)</f>
        <v>10000</v>
      </c>
      <c r="O432" s="118">
        <f>IFERROR(__xludf.DUMMYFUNCTION("""COMPUTED_VALUE"""),10000.0)</f>
        <v>10000</v>
      </c>
      <c r="P432" s="118">
        <f>IFERROR(__xludf.DUMMYFUNCTION("""COMPUTED_VALUE"""),10000.0)</f>
        <v>10000</v>
      </c>
      <c r="Q432" s="118">
        <f>IFERROR(__xludf.DUMMYFUNCTION("""COMPUTED_VALUE"""),10000.0)</f>
        <v>10000</v>
      </c>
      <c r="R432" s="118">
        <f>IFERROR(__xludf.DUMMYFUNCTION("""COMPUTED_VALUE"""),10000.0)</f>
        <v>10000</v>
      </c>
      <c r="S432" s="118">
        <f>IFERROR(__xludf.DUMMYFUNCTION("""COMPUTED_VALUE"""),10000.0)</f>
        <v>10000</v>
      </c>
      <c r="T432" s="16"/>
      <c r="U432" s="16"/>
      <c r="V432" s="16"/>
      <c r="W432" s="16"/>
      <c r="X432" s="118">
        <f>IFERROR(__xludf.DUMMYFUNCTION("""COMPUTED_VALUE"""),10000.0)</f>
        <v>10000</v>
      </c>
      <c r="Y432" s="118">
        <f>IFERROR(__xludf.DUMMYFUNCTION("""COMPUTED_VALUE"""),10000.0)</f>
        <v>10000</v>
      </c>
      <c r="Z432" s="16"/>
      <c r="AA432" s="16"/>
      <c r="AB432" s="118">
        <f>IFERROR(__xludf.DUMMYFUNCTION("""COMPUTED_VALUE"""),10000.0)</f>
        <v>10000</v>
      </c>
      <c r="AC432" s="118">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7">
        <f>IFERROR(__xludf.DUMMYFUNCTION("""COMPUTED_VALUE"""),5.104E8)</f>
        <v>510400000</v>
      </c>
      <c r="G433" s="16" t="str">
        <f>IFERROR(__xludf.DUMMYFUNCTION("""COMPUTED_VALUE"""),"DEF")</f>
        <v>DEF</v>
      </c>
      <c r="H433" s="118">
        <f>IFERROR(__xludf.DUMMYFUNCTION("""COMPUTED_VALUE"""),10000.0)</f>
        <v>10000</v>
      </c>
      <c r="I433" s="118">
        <f>IFERROR(__xludf.DUMMYFUNCTION("""COMPUTED_VALUE"""),10000.0)</f>
        <v>10000</v>
      </c>
      <c r="J433" s="118">
        <f>IFERROR(__xludf.DUMMYFUNCTION("""COMPUTED_VALUE"""),10000.0)</f>
        <v>10000</v>
      </c>
      <c r="K433" s="118">
        <f>IFERROR(__xludf.DUMMYFUNCTION("""COMPUTED_VALUE"""),10000.0)</f>
        <v>10000</v>
      </c>
      <c r="L433" s="118">
        <f>IFERROR(__xludf.DUMMYFUNCTION("""COMPUTED_VALUE"""),10000.0)</f>
        <v>10000</v>
      </c>
      <c r="M433" s="118">
        <f>IFERROR(__xludf.DUMMYFUNCTION("""COMPUTED_VALUE"""),10000.0)</f>
        <v>10000</v>
      </c>
      <c r="N433" s="118">
        <f>IFERROR(__xludf.DUMMYFUNCTION("""COMPUTED_VALUE"""),10000.0)</f>
        <v>10000</v>
      </c>
      <c r="O433" s="118">
        <f>IFERROR(__xludf.DUMMYFUNCTION("""COMPUTED_VALUE"""),10000.0)</f>
        <v>10000</v>
      </c>
      <c r="P433" s="118">
        <f>IFERROR(__xludf.DUMMYFUNCTION("""COMPUTED_VALUE"""),10000.0)</f>
        <v>10000</v>
      </c>
      <c r="Q433" s="118">
        <f>IFERROR(__xludf.DUMMYFUNCTION("""COMPUTED_VALUE"""),10000.0)</f>
        <v>10000</v>
      </c>
      <c r="R433" s="118">
        <f>IFERROR(__xludf.DUMMYFUNCTION("""COMPUTED_VALUE"""),10000.0)</f>
        <v>10000</v>
      </c>
      <c r="S433" s="118">
        <f>IFERROR(__xludf.DUMMYFUNCTION("""COMPUTED_VALUE"""),10000.0)</f>
        <v>10000</v>
      </c>
      <c r="T433" s="16"/>
      <c r="U433" s="16"/>
      <c r="V433" s="16"/>
      <c r="W433" s="16"/>
      <c r="X433" s="118">
        <f>IFERROR(__xludf.DUMMYFUNCTION("""COMPUTED_VALUE"""),10000.0)</f>
        <v>10000</v>
      </c>
      <c r="Y433" s="118">
        <f>IFERROR(__xludf.DUMMYFUNCTION("""COMPUTED_VALUE"""),10000.0)</f>
        <v>10000</v>
      </c>
      <c r="Z433" s="16"/>
      <c r="AA433" s="16"/>
      <c r="AB433" s="118">
        <f>IFERROR(__xludf.DUMMYFUNCTION("""COMPUTED_VALUE"""),10000.0)</f>
        <v>10000</v>
      </c>
      <c r="AC433" s="118">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7">
        <f>IFERROR(__xludf.DUMMYFUNCTION("""COMPUTED_VALUE"""),5.104E8)</f>
        <v>510400000</v>
      </c>
      <c r="G434" s="16" t="str">
        <f>IFERROR(__xludf.DUMMYFUNCTION("""COMPUTED_VALUE"""),"DEF")</f>
        <v>DEF</v>
      </c>
      <c r="H434" s="118">
        <f>IFERROR(__xludf.DUMMYFUNCTION("""COMPUTED_VALUE"""),10000.0)</f>
        <v>10000</v>
      </c>
      <c r="I434" s="118">
        <f>IFERROR(__xludf.DUMMYFUNCTION("""COMPUTED_VALUE"""),10000.0)</f>
        <v>10000</v>
      </c>
      <c r="J434" s="118">
        <f>IFERROR(__xludf.DUMMYFUNCTION("""COMPUTED_VALUE"""),10000.0)</f>
        <v>10000</v>
      </c>
      <c r="K434" s="118">
        <f>IFERROR(__xludf.DUMMYFUNCTION("""COMPUTED_VALUE"""),10000.0)</f>
        <v>10000</v>
      </c>
      <c r="L434" s="118">
        <f>IFERROR(__xludf.DUMMYFUNCTION("""COMPUTED_VALUE"""),10000.0)</f>
        <v>10000</v>
      </c>
      <c r="M434" s="118">
        <f>IFERROR(__xludf.DUMMYFUNCTION("""COMPUTED_VALUE"""),10000.0)</f>
        <v>10000</v>
      </c>
      <c r="N434" s="118">
        <f>IFERROR(__xludf.DUMMYFUNCTION("""COMPUTED_VALUE"""),10000.0)</f>
        <v>10000</v>
      </c>
      <c r="O434" s="118">
        <f>IFERROR(__xludf.DUMMYFUNCTION("""COMPUTED_VALUE"""),10000.0)</f>
        <v>10000</v>
      </c>
      <c r="P434" s="118">
        <f>IFERROR(__xludf.DUMMYFUNCTION("""COMPUTED_VALUE"""),10000.0)</f>
        <v>10000</v>
      </c>
      <c r="Q434" s="118">
        <f>IFERROR(__xludf.DUMMYFUNCTION("""COMPUTED_VALUE"""),10000.0)</f>
        <v>10000</v>
      </c>
      <c r="R434" s="118">
        <f>IFERROR(__xludf.DUMMYFUNCTION("""COMPUTED_VALUE"""),10000.0)</f>
        <v>10000</v>
      </c>
      <c r="S434" s="118">
        <f>IFERROR(__xludf.DUMMYFUNCTION("""COMPUTED_VALUE"""),10000.0)</f>
        <v>10000</v>
      </c>
      <c r="T434" s="16"/>
      <c r="U434" s="16"/>
      <c r="V434" s="16"/>
      <c r="W434" s="16"/>
      <c r="X434" s="118">
        <f>IFERROR(__xludf.DUMMYFUNCTION("""COMPUTED_VALUE"""),10000.0)</f>
        <v>10000</v>
      </c>
      <c r="Y434" s="118">
        <f>IFERROR(__xludf.DUMMYFUNCTION("""COMPUTED_VALUE"""),10000.0)</f>
        <v>10000</v>
      </c>
      <c r="Z434" s="16"/>
      <c r="AA434" s="16"/>
      <c r="AB434" s="118">
        <f>IFERROR(__xludf.DUMMYFUNCTION("""COMPUTED_VALUE"""),10000.0)</f>
        <v>10000</v>
      </c>
      <c r="AC434" s="118">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7">
        <f>IFERROR(__xludf.DUMMYFUNCTION("""COMPUTED_VALUE"""),5.104E8)</f>
        <v>510400000</v>
      </c>
      <c r="G435" s="16" t="str">
        <f>IFERROR(__xludf.DUMMYFUNCTION("""COMPUTED_VALUE"""),"DEF")</f>
        <v>DEF</v>
      </c>
      <c r="H435" s="118">
        <f>IFERROR(__xludf.DUMMYFUNCTION("""COMPUTED_VALUE"""),10000.0)</f>
        <v>10000</v>
      </c>
      <c r="I435" s="118">
        <f>IFERROR(__xludf.DUMMYFUNCTION("""COMPUTED_VALUE"""),10000.0)</f>
        <v>10000</v>
      </c>
      <c r="J435" s="118">
        <f>IFERROR(__xludf.DUMMYFUNCTION("""COMPUTED_VALUE"""),10000.0)</f>
        <v>10000</v>
      </c>
      <c r="K435" s="118">
        <f>IFERROR(__xludf.DUMMYFUNCTION("""COMPUTED_VALUE"""),10000.0)</f>
        <v>10000</v>
      </c>
      <c r="L435" s="118">
        <f>IFERROR(__xludf.DUMMYFUNCTION("""COMPUTED_VALUE"""),10000.0)</f>
        <v>10000</v>
      </c>
      <c r="M435" s="118">
        <f>IFERROR(__xludf.DUMMYFUNCTION("""COMPUTED_VALUE"""),10000.0)</f>
        <v>10000</v>
      </c>
      <c r="N435" s="118">
        <f>IFERROR(__xludf.DUMMYFUNCTION("""COMPUTED_VALUE"""),10000.0)</f>
        <v>10000</v>
      </c>
      <c r="O435" s="118">
        <f>IFERROR(__xludf.DUMMYFUNCTION("""COMPUTED_VALUE"""),10000.0)</f>
        <v>10000</v>
      </c>
      <c r="P435" s="118">
        <f>IFERROR(__xludf.DUMMYFUNCTION("""COMPUTED_VALUE"""),10000.0)</f>
        <v>10000</v>
      </c>
      <c r="Q435" s="118">
        <f>IFERROR(__xludf.DUMMYFUNCTION("""COMPUTED_VALUE"""),10000.0)</f>
        <v>10000</v>
      </c>
      <c r="R435" s="118">
        <f>IFERROR(__xludf.DUMMYFUNCTION("""COMPUTED_VALUE"""),10000.0)</f>
        <v>10000</v>
      </c>
      <c r="S435" s="118">
        <f>IFERROR(__xludf.DUMMYFUNCTION("""COMPUTED_VALUE"""),10000.0)</f>
        <v>10000</v>
      </c>
      <c r="T435" s="16"/>
      <c r="U435" s="16"/>
      <c r="V435" s="16"/>
      <c r="W435" s="16"/>
      <c r="X435" s="118">
        <f>IFERROR(__xludf.DUMMYFUNCTION("""COMPUTED_VALUE"""),10000.0)</f>
        <v>10000</v>
      </c>
      <c r="Y435" s="118">
        <f>IFERROR(__xludf.DUMMYFUNCTION("""COMPUTED_VALUE"""),10000.0)</f>
        <v>10000</v>
      </c>
      <c r="Z435" s="16"/>
      <c r="AA435" s="16"/>
      <c r="AB435" s="118">
        <f>IFERROR(__xludf.DUMMYFUNCTION("""COMPUTED_VALUE"""),10000.0)</f>
        <v>10000</v>
      </c>
      <c r="AC435" s="118">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7">
        <f>IFERROR(__xludf.DUMMYFUNCTION("""COMPUTED_VALUE"""),5.104E8)</f>
        <v>510400000</v>
      </c>
      <c r="G436" s="16" t="str">
        <f>IFERROR(__xludf.DUMMYFUNCTION("""COMPUTED_VALUE"""),"DMG")</f>
        <v>DMG</v>
      </c>
      <c r="H436" s="118">
        <f>IFERROR(__xludf.DUMMYFUNCTION("""COMPUTED_VALUE"""),10000.0)</f>
        <v>10000</v>
      </c>
      <c r="I436" s="118">
        <f>IFERROR(__xludf.DUMMYFUNCTION("""COMPUTED_VALUE"""),10000.0)</f>
        <v>10000</v>
      </c>
      <c r="J436" s="118">
        <f>IFERROR(__xludf.DUMMYFUNCTION("""COMPUTED_VALUE"""),10000.0)</f>
        <v>10000</v>
      </c>
      <c r="K436" s="118">
        <f>IFERROR(__xludf.DUMMYFUNCTION("""COMPUTED_VALUE"""),10000.0)</f>
        <v>10000</v>
      </c>
      <c r="L436" s="118">
        <f>IFERROR(__xludf.DUMMYFUNCTION("""COMPUTED_VALUE"""),10000.0)</f>
        <v>10000</v>
      </c>
      <c r="M436" s="118">
        <f>IFERROR(__xludf.DUMMYFUNCTION("""COMPUTED_VALUE"""),10000.0)</f>
        <v>10000</v>
      </c>
      <c r="N436" s="118">
        <f>IFERROR(__xludf.DUMMYFUNCTION("""COMPUTED_VALUE"""),10000.0)</f>
        <v>10000</v>
      </c>
      <c r="O436" s="118">
        <f>IFERROR(__xludf.DUMMYFUNCTION("""COMPUTED_VALUE"""),10000.0)</f>
        <v>10000</v>
      </c>
      <c r="P436" s="118">
        <f>IFERROR(__xludf.DUMMYFUNCTION("""COMPUTED_VALUE"""),10000.0)</f>
        <v>10000</v>
      </c>
      <c r="Q436" s="118">
        <f>IFERROR(__xludf.DUMMYFUNCTION("""COMPUTED_VALUE"""),10000.0)</f>
        <v>10000</v>
      </c>
      <c r="R436" s="118">
        <f>IFERROR(__xludf.DUMMYFUNCTION("""COMPUTED_VALUE"""),10000.0)</f>
        <v>10000</v>
      </c>
      <c r="S436" s="118">
        <f>IFERROR(__xludf.DUMMYFUNCTION("""COMPUTED_VALUE"""),10000.0)</f>
        <v>10000</v>
      </c>
      <c r="T436" s="16"/>
      <c r="U436" s="16"/>
      <c r="V436" s="16"/>
      <c r="W436" s="16"/>
      <c r="X436" s="118">
        <f>IFERROR(__xludf.DUMMYFUNCTION("""COMPUTED_VALUE"""),10000.0)</f>
        <v>10000</v>
      </c>
      <c r="Y436" s="118">
        <f>IFERROR(__xludf.DUMMYFUNCTION("""COMPUTED_VALUE"""),10000.0)</f>
        <v>10000</v>
      </c>
      <c r="Z436" s="16"/>
      <c r="AA436" s="16"/>
      <c r="AB436" s="118">
        <f>IFERROR(__xludf.DUMMYFUNCTION("""COMPUTED_VALUE"""),10000.0)</f>
        <v>10000</v>
      </c>
      <c r="AC436" s="118">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7">
        <f>IFERROR(__xludf.DUMMYFUNCTION("""COMPUTED_VALUE"""),7.14E7)</f>
        <v>71400000</v>
      </c>
      <c r="G437" s="16" t="str">
        <f>IFERROR(__xludf.DUMMYFUNCTION("""COMPUTED_VALUE"""),"DMG")</f>
        <v>DMG</v>
      </c>
      <c r="H437" s="16"/>
      <c r="I437" s="118">
        <f>IFERROR(__xludf.DUMMYFUNCTION("""COMPUTED_VALUE"""),20000.0)</f>
        <v>20000</v>
      </c>
      <c r="J437" s="16"/>
      <c r="K437" s="16"/>
      <c r="L437" s="16"/>
      <c r="M437" s="16"/>
      <c r="N437" s="16"/>
      <c r="O437" s="118">
        <f>IFERROR(__xludf.DUMMYFUNCTION("""COMPUTED_VALUE"""),20000.0)</f>
        <v>20000</v>
      </c>
      <c r="P437" s="16"/>
      <c r="Q437" s="16"/>
      <c r="R437" s="118">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7">
        <f>IFERROR(__xludf.DUMMYFUNCTION("""COMPUTED_VALUE"""),4.0455E9)</f>
        <v>4045500000</v>
      </c>
      <c r="G438" s="16" t="str">
        <f>IFERROR(__xludf.DUMMYFUNCTION("""COMPUTED_VALUE"""),"DMG")</f>
        <v>DMG</v>
      </c>
      <c r="H438" s="118">
        <f>IFERROR(__xludf.DUMMYFUNCTION("""COMPUTED_VALUE"""),150000.0)</f>
        <v>150000</v>
      </c>
      <c r="I438" s="16"/>
      <c r="J438" s="16"/>
      <c r="K438" s="16"/>
      <c r="L438" s="16"/>
      <c r="M438" s="16"/>
      <c r="N438" s="16"/>
      <c r="O438" s="118">
        <f>IFERROR(__xludf.DUMMYFUNCTION("""COMPUTED_VALUE"""),150000.0)</f>
        <v>150000</v>
      </c>
      <c r="P438" s="16"/>
      <c r="Q438" s="16"/>
      <c r="R438" s="16"/>
      <c r="S438" s="16"/>
      <c r="T438" s="16"/>
      <c r="U438" s="16"/>
      <c r="V438" s="16"/>
      <c r="W438" s="16"/>
      <c r="X438" s="16"/>
      <c r="Y438" s="16"/>
      <c r="Z438" s="16"/>
      <c r="AA438" s="16"/>
      <c r="AB438" s="16"/>
      <c r="AC438" s="118">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7">
        <f>IFERROR(__xludf.DUMMYFUNCTION("""COMPUTED_VALUE"""),4.95E7)</f>
        <v>49500000</v>
      </c>
      <c r="G439" s="16" t="str">
        <f>IFERROR(__xludf.DUMMYFUNCTION("""COMPUTED_VALUE"""),"DEF")</f>
        <v>DEF</v>
      </c>
      <c r="H439" s="118">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7">
        <f>IFERROR(__xludf.DUMMYFUNCTION("""COMPUTED_VALUE"""),2.415E7)</f>
        <v>24150000</v>
      </c>
      <c r="G440" s="16" t="str">
        <f>IFERROR(__xludf.DUMMYFUNCTION("""COMPUTED_VALUE"""),"DEF")</f>
        <v>DEF</v>
      </c>
      <c r="H440" s="118">
        <f>IFERROR(__xludf.DUMMYFUNCTION("""COMPUTED_VALUE"""),25000.0)</f>
        <v>25000</v>
      </c>
      <c r="I440" s="16"/>
      <c r="J440" s="16"/>
      <c r="K440" s="118">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7">
        <f>IFERROR(__xludf.DUMMYFUNCTION("""COMPUTED_VALUE"""),1900000.0)</f>
        <v>1900000</v>
      </c>
      <c r="G441" s="16" t="str">
        <f>IFERROR(__xludf.DUMMYFUNCTION("""COMPUTED_VALUE"""),"DEF")</f>
        <v>DEF</v>
      </c>
      <c r="H441" s="118">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7">
        <f>IFERROR(__xludf.DUMMYFUNCTION("""COMPUTED_VALUE"""),1.0557E9)</f>
        <v>1055700000</v>
      </c>
      <c r="G442" s="16" t="str">
        <f>IFERROR(__xludf.DUMMYFUNCTION("""COMPUTED_VALUE"""),"DMG")</f>
        <v>DMG</v>
      </c>
      <c r="H442" s="118">
        <f>IFERROR(__xludf.DUMMYFUNCTION("""COMPUTED_VALUE"""),50000.0)</f>
        <v>50000</v>
      </c>
      <c r="I442" s="118">
        <f>IFERROR(__xludf.DUMMYFUNCTION("""COMPUTED_VALUE"""),20000.0)</f>
        <v>20000</v>
      </c>
      <c r="J442" s="16"/>
      <c r="K442" s="16"/>
      <c r="L442" s="16"/>
      <c r="M442" s="16"/>
      <c r="N442" s="16"/>
      <c r="O442" s="118">
        <f>IFERROR(__xludf.DUMMYFUNCTION("""COMPUTED_VALUE"""),20000.0)</f>
        <v>20000</v>
      </c>
      <c r="P442" s="118">
        <f>IFERROR(__xludf.DUMMYFUNCTION("""COMPUTED_VALUE"""),20000.0)</f>
        <v>20000</v>
      </c>
      <c r="Q442" s="16"/>
      <c r="R442" s="118">
        <f>IFERROR(__xludf.DUMMYFUNCTION("""COMPUTED_VALUE"""),20000.0)</f>
        <v>20000</v>
      </c>
      <c r="S442" s="16"/>
      <c r="T442" s="16"/>
      <c r="U442" s="16"/>
      <c r="V442" s="118">
        <f>IFERROR(__xludf.DUMMYFUNCTION("""COMPUTED_VALUE"""),20000.0)</f>
        <v>20000</v>
      </c>
      <c r="W442" s="118">
        <f>IFERROR(__xludf.DUMMYFUNCTION("""COMPUTED_VALUE"""),20000.0)</f>
        <v>20000</v>
      </c>
      <c r="X442" s="118">
        <f>IFERROR(__xludf.DUMMYFUNCTION("""COMPUTED_VALUE"""),20000.0)</f>
        <v>20000</v>
      </c>
      <c r="Y442" s="118">
        <f>IFERROR(__xludf.DUMMYFUNCTION("""COMPUTED_VALUE"""),20000.0)</f>
        <v>20000</v>
      </c>
      <c r="Z442" s="16"/>
      <c r="AA442" s="16"/>
      <c r="AB442" s="16"/>
      <c r="AC442" s="118">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7">
        <f>IFERROR(__xludf.DUMMYFUNCTION("""COMPUTED_VALUE"""),1.0557E9)</f>
        <v>1055700000</v>
      </c>
      <c r="G443" s="16" t="str">
        <f>IFERROR(__xludf.DUMMYFUNCTION("""COMPUTED_VALUE"""),"DEF")</f>
        <v>DEF</v>
      </c>
      <c r="H443" s="118">
        <f>IFERROR(__xludf.DUMMYFUNCTION("""COMPUTED_VALUE"""),50000.0)</f>
        <v>50000</v>
      </c>
      <c r="I443" s="118">
        <f>IFERROR(__xludf.DUMMYFUNCTION("""COMPUTED_VALUE"""),20000.0)</f>
        <v>20000</v>
      </c>
      <c r="J443" s="16"/>
      <c r="K443" s="16"/>
      <c r="L443" s="16"/>
      <c r="M443" s="16"/>
      <c r="N443" s="16"/>
      <c r="O443" s="118">
        <f>IFERROR(__xludf.DUMMYFUNCTION("""COMPUTED_VALUE"""),20000.0)</f>
        <v>20000</v>
      </c>
      <c r="P443" s="118">
        <f>IFERROR(__xludf.DUMMYFUNCTION("""COMPUTED_VALUE"""),20000.0)</f>
        <v>20000</v>
      </c>
      <c r="Q443" s="16"/>
      <c r="R443" s="118">
        <f>IFERROR(__xludf.DUMMYFUNCTION("""COMPUTED_VALUE"""),20000.0)</f>
        <v>20000</v>
      </c>
      <c r="S443" s="16"/>
      <c r="T443" s="16"/>
      <c r="U443" s="16"/>
      <c r="V443" s="118">
        <f>IFERROR(__xludf.DUMMYFUNCTION("""COMPUTED_VALUE"""),20000.0)</f>
        <v>20000</v>
      </c>
      <c r="W443" s="118">
        <f>IFERROR(__xludf.DUMMYFUNCTION("""COMPUTED_VALUE"""),20000.0)</f>
        <v>20000</v>
      </c>
      <c r="X443" s="118">
        <f>IFERROR(__xludf.DUMMYFUNCTION("""COMPUTED_VALUE"""),20000.0)</f>
        <v>20000</v>
      </c>
      <c r="Y443" s="118">
        <f>IFERROR(__xludf.DUMMYFUNCTION("""COMPUTED_VALUE"""),20000.0)</f>
        <v>20000</v>
      </c>
      <c r="Z443" s="16"/>
      <c r="AA443" s="16"/>
      <c r="AB443" s="16"/>
      <c r="AC443" s="118">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7">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7">
        <f>IFERROR(__xludf.DUMMYFUNCTION("""COMPUTED_VALUE"""),9.73E7)</f>
        <v>97300000</v>
      </c>
      <c r="G445" s="16" t="str">
        <f>IFERROR(__xludf.DUMMYFUNCTION("""COMPUTED_VALUE"""),"DEF")</f>
        <v>DEF</v>
      </c>
      <c r="H445" s="118">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7">
        <f>IFERROR(__xludf.DUMMYFUNCTION("""COMPUTED_VALUE"""),5.995E7)</f>
        <v>59950000</v>
      </c>
      <c r="G446" s="16" t="str">
        <f>IFERROR(__xludf.DUMMYFUNCTION("""COMPUTED_VALUE"""),"DEF")</f>
        <v>DEF</v>
      </c>
      <c r="H446" s="118">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7">
        <f>IFERROR(__xludf.DUMMYFUNCTION("""COMPUTED_VALUE"""),3.16E7)</f>
        <v>31600000</v>
      </c>
      <c r="G447" s="16" t="str">
        <f>IFERROR(__xludf.DUMMYFUNCTION("""COMPUTED_VALUE"""),"DEF")</f>
        <v>DEF</v>
      </c>
      <c r="H447" s="118">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7">
        <f>IFERROR(__xludf.DUMMYFUNCTION("""COMPUTED_VALUE"""),3.16E7)</f>
        <v>31600000</v>
      </c>
      <c r="G448" s="16" t="str">
        <f>IFERROR(__xludf.DUMMYFUNCTION("""COMPUTED_VALUE"""),"DEF")</f>
        <v>DEF</v>
      </c>
      <c r="H448" s="118">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7">
        <f>IFERROR(__xludf.DUMMYFUNCTION("""COMPUTED_VALUE"""),2.1945E8)</f>
        <v>219450000</v>
      </c>
      <c r="G449" s="16" t="str">
        <f>IFERROR(__xludf.DUMMYFUNCTION("""COMPUTED_VALUE"""),"DEF")</f>
        <v>DEF</v>
      </c>
      <c r="H449" s="118">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7">
        <f>IFERROR(__xludf.DUMMYFUNCTION("""COMPUTED_VALUE"""),5.356E7)</f>
        <v>53560000</v>
      </c>
      <c r="G450" s="16" t="str">
        <f>IFERROR(__xludf.DUMMYFUNCTION("""COMPUTED_VALUE"""),"DEF")</f>
        <v>DEF</v>
      </c>
      <c r="H450" s="118">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7">
        <f>IFERROR(__xludf.DUMMYFUNCTION("""COMPUTED_VALUE"""),4.95E7)</f>
        <v>49500000</v>
      </c>
      <c r="G451" s="16" t="str">
        <f>IFERROR(__xludf.DUMMYFUNCTION("""COMPUTED_VALUE"""),"DEF")</f>
        <v>DEF</v>
      </c>
      <c r="H451" s="118">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7">
        <f>IFERROR(__xludf.DUMMYFUNCTION("""COMPUTED_VALUE"""),3.367E8)</f>
        <v>336700000</v>
      </c>
      <c r="G452" s="16" t="str">
        <f>IFERROR(__xludf.DUMMYFUNCTION("""COMPUTED_VALUE"""),"DMG")</f>
        <v>DMG</v>
      </c>
      <c r="H452" s="118">
        <f>IFERROR(__xludf.DUMMYFUNCTION("""COMPUTED_VALUE"""),100000.0)</f>
        <v>100000</v>
      </c>
      <c r="I452" s="16"/>
      <c r="J452" s="16"/>
      <c r="K452" s="16"/>
      <c r="L452" s="16"/>
      <c r="M452" s="16"/>
      <c r="N452" s="16">
        <f>IFERROR(__xludf.DUMMYFUNCTION("""COMPUTED_VALUE"""),10000.0)</f>
        <v>10000</v>
      </c>
      <c r="O452" s="16"/>
      <c r="P452" s="16"/>
      <c r="Q452" s="118">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7">
        <f>IFERROR(__xludf.DUMMYFUNCTION("""COMPUTED_VALUE"""),1.99E8)</f>
        <v>199000000</v>
      </c>
      <c r="G453" s="16" t="str">
        <f>IFERROR(__xludf.DUMMYFUNCTION("""COMPUTED_VALUE"""),"DEF")</f>
        <v>DEF</v>
      </c>
      <c r="H453" s="118">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8">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7">
        <f>IFERROR(__xludf.DUMMYFUNCTION("""COMPUTED_VALUE"""),1.99E8)</f>
        <v>199000000</v>
      </c>
      <c r="G454" s="16" t="str">
        <f>IFERROR(__xludf.DUMMYFUNCTION("""COMPUTED_VALUE"""),"DEF")</f>
        <v>DEF</v>
      </c>
      <c r="H454" s="118">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8">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7">
        <f>IFERROR(__xludf.DUMMYFUNCTION("""COMPUTED_VALUE"""),1.99E8)</f>
        <v>199000000</v>
      </c>
      <c r="G455" s="16" t="str">
        <f>IFERROR(__xludf.DUMMYFUNCTION("""COMPUTED_VALUE"""),"DEF")</f>
        <v>DEF</v>
      </c>
      <c r="H455" s="118">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8">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7">
        <f>IFERROR(__xludf.DUMMYFUNCTION("""COMPUTED_VALUE"""),1.99E8)</f>
        <v>199000000</v>
      </c>
      <c r="G456" s="16" t="str">
        <f>IFERROR(__xludf.DUMMYFUNCTION("""COMPUTED_VALUE"""),"DEF")</f>
        <v>DEF</v>
      </c>
      <c r="H456" s="118">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8">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7">
        <f>IFERROR(__xludf.DUMMYFUNCTION("""COMPUTED_VALUE"""),1.99E8)</f>
        <v>199000000</v>
      </c>
      <c r="G457" s="16" t="str">
        <f>IFERROR(__xludf.DUMMYFUNCTION("""COMPUTED_VALUE"""),"DEF")</f>
        <v>DEF</v>
      </c>
      <c r="H457" s="118">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8">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7">
        <f>IFERROR(__xludf.DUMMYFUNCTION("""COMPUTED_VALUE"""),1.99E8)</f>
        <v>199000000</v>
      </c>
      <c r="G458" s="16" t="str">
        <f>IFERROR(__xludf.DUMMYFUNCTION("""COMPUTED_VALUE"""),"DEF")</f>
        <v>DEF</v>
      </c>
      <c r="H458" s="118">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8">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7">
        <f>IFERROR(__xludf.DUMMYFUNCTION("""COMPUTED_VALUE"""),1.99E8)</f>
        <v>199000000</v>
      </c>
      <c r="G459" s="16" t="str">
        <f>IFERROR(__xludf.DUMMYFUNCTION("""COMPUTED_VALUE"""),"DEF")</f>
        <v>DEF</v>
      </c>
      <c r="H459" s="118">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8">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7">
        <f>IFERROR(__xludf.DUMMYFUNCTION("""COMPUTED_VALUE"""),3.16E7)</f>
        <v>31600000</v>
      </c>
      <c r="G460" s="16" t="str">
        <f>IFERROR(__xludf.DUMMYFUNCTION("""COMPUTED_VALUE"""),"DEF")</f>
        <v>DEF</v>
      </c>
      <c r="H460" s="118">
        <f>IFERROR(__xludf.DUMMYFUNCTION("""COMPUTED_VALUE"""),10000.0)</f>
        <v>10000</v>
      </c>
      <c r="I460" s="16"/>
      <c r="J460" s="16"/>
      <c r="K460" s="16"/>
      <c r="L460" s="16"/>
      <c r="M460" s="16"/>
      <c r="N460" s="16">
        <f>IFERROR(__xludf.DUMMYFUNCTION("""COMPUTED_VALUE"""),10000.0)</f>
        <v>10000</v>
      </c>
      <c r="O460" s="16"/>
      <c r="P460" s="16"/>
      <c r="Q460" s="118">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7">
        <f>IFERROR(__xludf.DUMMYFUNCTION("""COMPUTED_VALUE"""),9460000.0)</f>
        <v>9460000</v>
      </c>
      <c r="G461" s="16" t="str">
        <f>IFERROR(__xludf.DUMMYFUNCTION("""COMPUTED_VALUE"""),"DEF")</f>
        <v>DEF</v>
      </c>
      <c r="H461" s="118">
        <f>IFERROR(__xludf.DUMMYFUNCTION("""COMPUTED_VALUE"""),1000.0)</f>
        <v>1000</v>
      </c>
      <c r="I461" s="16"/>
      <c r="J461" s="16"/>
      <c r="K461" s="16"/>
      <c r="L461" s="16"/>
      <c r="M461" s="16"/>
      <c r="N461" s="16">
        <f>IFERROR(__xludf.DUMMYFUNCTION("""COMPUTED_VALUE"""),10000.0)</f>
        <v>10000</v>
      </c>
      <c r="O461" s="16"/>
      <c r="P461" s="16"/>
      <c r="Q461" s="118">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7">
        <f>IFERROR(__xludf.DUMMYFUNCTION("""COMPUTED_VALUE"""),9.73E7)</f>
        <v>97300000</v>
      </c>
      <c r="G462" s="16" t="str">
        <f>IFERROR(__xludf.DUMMYFUNCTION("""COMPUTED_VALUE"""),"DEF")</f>
        <v>DEF</v>
      </c>
      <c r="H462" s="118">
        <f>IFERROR(__xludf.DUMMYFUNCTION("""COMPUTED_VALUE"""),20000.0)</f>
        <v>20000</v>
      </c>
      <c r="I462" s="16"/>
      <c r="J462" s="16"/>
      <c r="K462" s="16"/>
      <c r="L462" s="16"/>
      <c r="M462" s="16"/>
      <c r="N462" s="16">
        <f>IFERROR(__xludf.DUMMYFUNCTION("""COMPUTED_VALUE"""),20000.0)</f>
        <v>20000</v>
      </c>
      <c r="O462" s="16"/>
      <c r="P462" s="16"/>
      <c r="Q462" s="118">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7">
        <f>IFERROR(__xludf.DUMMYFUNCTION("""COMPUTED_VALUE"""),3.16E7)</f>
        <v>31600000</v>
      </c>
      <c r="G463" s="16" t="str">
        <f>IFERROR(__xludf.DUMMYFUNCTION("""COMPUTED_VALUE"""),"DEF")</f>
        <v>DEF</v>
      </c>
      <c r="H463" s="118">
        <f>IFERROR(__xludf.DUMMYFUNCTION("""COMPUTED_VALUE"""),10000.0)</f>
        <v>10000</v>
      </c>
      <c r="I463" s="16"/>
      <c r="J463" s="16"/>
      <c r="K463" s="16"/>
      <c r="L463" s="16"/>
      <c r="M463" s="16"/>
      <c r="N463" s="16">
        <f>IFERROR(__xludf.DUMMYFUNCTION("""COMPUTED_VALUE"""),10000.0)</f>
        <v>10000</v>
      </c>
      <c r="O463" s="16"/>
      <c r="P463" s="16"/>
      <c r="Q463" s="118">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7">
        <f>IFERROR(__xludf.DUMMYFUNCTION("""COMPUTED_VALUE"""),3.16E7)</f>
        <v>31600000</v>
      </c>
      <c r="G464" s="16" t="str">
        <f>IFERROR(__xludf.DUMMYFUNCTION("""COMPUTED_VALUE"""),"DEF")</f>
        <v>DEF</v>
      </c>
      <c r="H464" s="118">
        <f>IFERROR(__xludf.DUMMYFUNCTION("""COMPUTED_VALUE"""),10000.0)</f>
        <v>10000</v>
      </c>
      <c r="I464" s="16"/>
      <c r="J464" s="16"/>
      <c r="K464" s="16"/>
      <c r="L464" s="16"/>
      <c r="M464" s="16"/>
      <c r="N464" s="16">
        <f>IFERROR(__xludf.DUMMYFUNCTION("""COMPUTED_VALUE"""),10000.0)</f>
        <v>10000</v>
      </c>
      <c r="O464" s="16"/>
      <c r="P464" s="16"/>
      <c r="Q464" s="118">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7">
        <f>IFERROR(__xludf.DUMMYFUNCTION("""COMPUTED_VALUE"""),3.16E7)</f>
        <v>31600000</v>
      </c>
      <c r="G465" s="16" t="str">
        <f>IFERROR(__xludf.DUMMYFUNCTION("""COMPUTED_VALUE"""),"DMG")</f>
        <v>DMG</v>
      </c>
      <c r="H465" s="118">
        <f>IFERROR(__xludf.DUMMYFUNCTION("""COMPUTED_VALUE"""),10000.0)</f>
        <v>10000</v>
      </c>
      <c r="I465" s="16"/>
      <c r="J465" s="16"/>
      <c r="K465" s="16"/>
      <c r="L465" s="16"/>
      <c r="M465" s="16"/>
      <c r="N465" s="16">
        <f>IFERROR(__xludf.DUMMYFUNCTION("""COMPUTED_VALUE"""),10000.0)</f>
        <v>10000</v>
      </c>
      <c r="O465" s="16"/>
      <c r="P465" s="16"/>
      <c r="Q465" s="118">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7">
        <f>IFERROR(__xludf.DUMMYFUNCTION("""COMPUTED_VALUE"""),3.16E7)</f>
        <v>31600000</v>
      </c>
      <c r="G466" s="16" t="str">
        <f>IFERROR(__xludf.DUMMYFUNCTION("""COMPUTED_VALUE"""),"DEF")</f>
        <v>DEF</v>
      </c>
      <c r="H466" s="118">
        <f>IFERROR(__xludf.DUMMYFUNCTION("""COMPUTED_VALUE"""),10000.0)</f>
        <v>10000</v>
      </c>
      <c r="I466" s="16"/>
      <c r="J466" s="16"/>
      <c r="K466" s="16"/>
      <c r="L466" s="16"/>
      <c r="M466" s="16"/>
      <c r="N466" s="16">
        <f>IFERROR(__xludf.DUMMYFUNCTION("""COMPUTED_VALUE"""),10000.0)</f>
        <v>10000</v>
      </c>
      <c r="O466" s="16"/>
      <c r="P466" s="16"/>
      <c r="Q466" s="118">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7">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7">
        <f>IFERROR(__xludf.DUMMYFUNCTION("""COMPUTED_VALUE"""),4350000.0)</f>
        <v>4350000</v>
      </c>
      <c r="G468" s="16" t="str">
        <f>IFERROR(__xludf.DUMMYFUNCTION("""COMPUTED_VALUE"""),"DMG")</f>
        <v>DMG</v>
      </c>
      <c r="H468" s="118">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7">
        <f>IFERROR(__xludf.DUMMYFUNCTION("""COMPUTED_VALUE"""),1.77E7)</f>
        <v>17700000</v>
      </c>
      <c r="G469" s="16" t="str">
        <f>IFERROR(__xludf.DUMMYFUNCTION("""COMPUTED_VALUE"""),"DMG")</f>
        <v>DMG</v>
      </c>
      <c r="H469" s="118">
        <f>IFERROR(__xludf.DUMMYFUNCTION("""COMPUTED_VALUE"""),10000.0)</f>
        <v>10000</v>
      </c>
      <c r="I469" s="118">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8">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7">
        <f>IFERROR(__xludf.DUMMYFUNCTION("""COMPUTED_VALUE"""),4.005E7)</f>
        <v>40050000</v>
      </c>
      <c r="G470" s="16" t="str">
        <f>IFERROR(__xludf.DUMMYFUNCTION("""COMPUTED_VALUE"""),"DMG")</f>
        <v>DMG</v>
      </c>
      <c r="H470" s="118">
        <f>IFERROR(__xludf.DUMMYFUNCTION("""COMPUTED_VALUE"""),15000.0)</f>
        <v>15000</v>
      </c>
      <c r="I470" s="118">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8">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7">
        <f>IFERROR(__xludf.DUMMYFUNCTION("""COMPUTED_VALUE"""),1.7955E8)</f>
        <v>179550000</v>
      </c>
      <c r="G471" s="16" t="str">
        <f>IFERROR(__xludf.DUMMYFUNCTION("""COMPUTED_VALUE"""),"DEF")</f>
        <v>DEF</v>
      </c>
      <c r="H471" s="118">
        <f>IFERROR(__xludf.DUMMYFUNCTION("""COMPUTED_VALUE"""),25000.0)</f>
        <v>25000</v>
      </c>
      <c r="I471" s="16"/>
      <c r="J471" s="16"/>
      <c r="K471" s="16"/>
      <c r="L471" s="16"/>
      <c r="M471" s="16"/>
      <c r="N471" s="16">
        <f>IFERROR(__xludf.DUMMYFUNCTION("""COMPUTED_VALUE"""),25000.0)</f>
        <v>25000</v>
      </c>
      <c r="O471" s="16"/>
      <c r="P471" s="16"/>
      <c r="Q471" s="118">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7">
        <f>IFERROR(__xludf.DUMMYFUNCTION("""COMPUTED_VALUE"""),2.1945E8)</f>
        <v>219450000</v>
      </c>
      <c r="G472" s="16" t="str">
        <f>IFERROR(__xludf.DUMMYFUNCTION("""COMPUTED_VALUE"""),"DEF")</f>
        <v>DEF</v>
      </c>
      <c r="H472" s="118">
        <f>IFERROR(__xludf.DUMMYFUNCTION("""COMPUTED_VALUE"""),25000.0)</f>
        <v>25000</v>
      </c>
      <c r="I472" s="16"/>
      <c r="J472" s="16"/>
      <c r="K472" s="16"/>
      <c r="L472" s="16"/>
      <c r="M472" s="16"/>
      <c r="N472" s="16">
        <f>IFERROR(__xludf.DUMMYFUNCTION("""COMPUTED_VALUE"""),25000.0)</f>
        <v>25000</v>
      </c>
      <c r="O472" s="16"/>
      <c r="P472" s="16"/>
      <c r="Q472" s="118">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7">
        <f>IFERROR(__xludf.DUMMYFUNCTION("""COMPUTED_VALUE"""),1.7955E8)</f>
        <v>179550000</v>
      </c>
      <c r="G473" s="16" t="str">
        <f>IFERROR(__xludf.DUMMYFUNCTION("""COMPUTED_VALUE"""),"DEF")</f>
        <v>DEF</v>
      </c>
      <c r="H473" s="118">
        <f>IFERROR(__xludf.DUMMYFUNCTION("""COMPUTED_VALUE"""),25000.0)</f>
        <v>25000</v>
      </c>
      <c r="I473" s="16"/>
      <c r="J473" s="16"/>
      <c r="K473" s="16"/>
      <c r="L473" s="16"/>
      <c r="M473" s="16"/>
      <c r="N473" s="16">
        <f>IFERROR(__xludf.DUMMYFUNCTION("""COMPUTED_VALUE"""),25000.0)</f>
        <v>25000</v>
      </c>
      <c r="O473" s="16"/>
      <c r="P473" s="16"/>
      <c r="Q473" s="118">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7">
        <f>IFERROR(__xludf.DUMMYFUNCTION("""COMPUTED_VALUE"""),1.7955E8)</f>
        <v>179550000</v>
      </c>
      <c r="G474" s="16" t="str">
        <f>IFERROR(__xludf.DUMMYFUNCTION("""COMPUTED_VALUE"""),"DEF")</f>
        <v>DEF</v>
      </c>
      <c r="H474" s="118">
        <f>IFERROR(__xludf.DUMMYFUNCTION("""COMPUTED_VALUE"""),25000.0)</f>
        <v>25000</v>
      </c>
      <c r="I474" s="16"/>
      <c r="J474" s="16"/>
      <c r="K474" s="16"/>
      <c r="L474" s="16"/>
      <c r="M474" s="16"/>
      <c r="N474" s="16">
        <f>IFERROR(__xludf.DUMMYFUNCTION("""COMPUTED_VALUE"""),25000.0)</f>
        <v>25000</v>
      </c>
      <c r="O474" s="16"/>
      <c r="P474" s="16"/>
      <c r="Q474" s="118">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7">
        <f>IFERROR(__xludf.DUMMYFUNCTION("""COMPUTED_VALUE"""),1.7955E8)</f>
        <v>179550000</v>
      </c>
      <c r="G475" s="16" t="str">
        <f>IFERROR(__xludf.DUMMYFUNCTION("""COMPUTED_VALUE"""),"DEF")</f>
        <v>DEF</v>
      </c>
      <c r="H475" s="118">
        <f>IFERROR(__xludf.DUMMYFUNCTION("""COMPUTED_VALUE"""),25000.0)</f>
        <v>25000</v>
      </c>
      <c r="I475" s="16"/>
      <c r="J475" s="16"/>
      <c r="K475" s="16"/>
      <c r="L475" s="16"/>
      <c r="M475" s="16"/>
      <c r="N475" s="16">
        <f>IFERROR(__xludf.DUMMYFUNCTION("""COMPUTED_VALUE"""),25000.0)</f>
        <v>25000</v>
      </c>
      <c r="O475" s="16"/>
      <c r="P475" s="16"/>
      <c r="Q475" s="118">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7">
        <f>IFERROR(__xludf.DUMMYFUNCTION("""COMPUTED_VALUE"""),1.7955E8)</f>
        <v>179550000</v>
      </c>
      <c r="G476" s="16" t="str">
        <f>IFERROR(__xludf.DUMMYFUNCTION("""COMPUTED_VALUE"""),"DEF")</f>
        <v>DEF</v>
      </c>
      <c r="H476" s="118">
        <f>IFERROR(__xludf.DUMMYFUNCTION("""COMPUTED_VALUE"""),25000.0)</f>
        <v>25000</v>
      </c>
      <c r="I476" s="16"/>
      <c r="J476" s="16"/>
      <c r="K476" s="16"/>
      <c r="L476" s="16"/>
      <c r="M476" s="16"/>
      <c r="N476" s="16">
        <f>IFERROR(__xludf.DUMMYFUNCTION("""COMPUTED_VALUE"""),25000.0)</f>
        <v>25000</v>
      </c>
      <c r="O476" s="16"/>
      <c r="P476" s="16"/>
      <c r="Q476" s="118">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7">
        <f>IFERROR(__xludf.DUMMYFUNCTION("""COMPUTED_VALUE"""),2.409E8)</f>
        <v>240900000</v>
      </c>
      <c r="G477" s="16" t="str">
        <f>IFERROR(__xludf.DUMMYFUNCTION("""COMPUTED_VALUE"""),"DMG")</f>
        <v>DMG</v>
      </c>
      <c r="H477" s="118">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7">
        <f>IFERROR(__xludf.DUMMYFUNCTION("""COMPUTED_VALUE"""),2.409E8)</f>
        <v>240900000</v>
      </c>
      <c r="G478" s="16" t="str">
        <f>IFERROR(__xludf.DUMMYFUNCTION("""COMPUTED_VALUE"""),"DMG")</f>
        <v>DMG</v>
      </c>
      <c r="H478" s="118">
        <f>IFERROR(__xludf.DUMMYFUNCTION("""COMPUTED_VALUE"""),50000.0)</f>
        <v>50000</v>
      </c>
      <c r="I478" s="16"/>
      <c r="J478" s="16"/>
      <c r="K478" s="16"/>
      <c r="L478" s="16"/>
      <c r="M478" s="16"/>
      <c r="N478" s="16"/>
      <c r="O478" s="118">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7">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7">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7">
        <f>IFERROR(__xludf.DUMMYFUNCTION("""COMPUTED_VALUE"""),5.4285E8)</f>
        <v>542850000</v>
      </c>
      <c r="G482" s="16" t="str">
        <f>IFERROR(__xludf.DUMMYFUNCTION("""COMPUTED_VALUE"""),"DMG")</f>
        <v>DMG</v>
      </c>
      <c r="H482" s="118">
        <f>IFERROR(__xludf.DUMMYFUNCTION("""COMPUTED_VALUE"""),25000.0)</f>
        <v>25000</v>
      </c>
      <c r="I482" s="16"/>
      <c r="J482" s="16"/>
      <c r="K482" s="16"/>
      <c r="L482" s="16"/>
      <c r="M482" s="118">
        <f>IFERROR(__xludf.DUMMYFUNCTION("""COMPUTED_VALUE"""),100000.0)</f>
        <v>100000</v>
      </c>
      <c r="N482" s="16"/>
      <c r="O482" s="16"/>
      <c r="P482" s="16"/>
      <c r="Q482" s="16"/>
      <c r="R482" s="16"/>
      <c r="S482" s="118">
        <f>IFERROR(__xludf.DUMMYFUNCTION("""COMPUTED_VALUE"""),15000.0)</f>
        <v>15000</v>
      </c>
      <c r="T482" s="16"/>
      <c r="U482" s="16"/>
      <c r="V482" s="16"/>
      <c r="W482" s="16"/>
      <c r="X482" s="16"/>
      <c r="Y482" s="16"/>
      <c r="Z482" s="16"/>
      <c r="AA482" s="16"/>
      <c r="AB482" s="16"/>
      <c r="AC482" s="118">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7">
        <f>IFERROR(__xludf.DUMMYFUNCTION("""COMPUTED_VALUE"""),1.12425E10)</f>
        <v>11242500000</v>
      </c>
      <c r="G483" s="16" t="str">
        <f>IFERROR(__xludf.DUMMYFUNCTION("""COMPUTED_VALUE"""),"DMG")</f>
        <v>DMG</v>
      </c>
      <c r="H483" s="118">
        <f>IFERROR(__xludf.DUMMYFUNCTION("""COMPUTED_VALUE"""),250000.0)</f>
        <v>250000</v>
      </c>
      <c r="I483" s="16"/>
      <c r="J483" s="16"/>
      <c r="K483" s="16"/>
      <c r="L483" s="16"/>
      <c r="M483" s="16"/>
      <c r="N483" s="16"/>
      <c r="O483" s="16"/>
      <c r="P483" s="16"/>
      <c r="Q483" s="16"/>
      <c r="R483" s="16"/>
      <c r="S483" s="16"/>
      <c r="T483" s="16"/>
      <c r="U483" s="16"/>
      <c r="V483" s="16"/>
      <c r="W483" s="16"/>
      <c r="X483" s="16"/>
      <c r="Y483" s="16"/>
      <c r="Z483" s="118">
        <f>IFERROR(__xludf.DUMMYFUNCTION("""COMPUTED_VALUE"""),250000.0)</f>
        <v>250000</v>
      </c>
      <c r="AA483" s="16"/>
      <c r="AB483" s="16"/>
      <c r="AC483" s="118">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7">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7">
        <f>IFERROR(__xludf.DUMMYFUNCTION("""COMPUTED_VALUE"""),4350000.0)</f>
        <v>4350000</v>
      </c>
      <c r="G485" s="16" t="str">
        <f>IFERROR(__xludf.DUMMYFUNCTION("""COMPUTED_VALUE"""),"DMG")</f>
        <v>DMG</v>
      </c>
      <c r="H485" s="118">
        <f>IFERROR(__xludf.DUMMYFUNCTION("""COMPUTED_VALUE"""),10000.0)</f>
        <v>10000</v>
      </c>
      <c r="I485" s="118">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7">
        <f>IFERROR(__xludf.DUMMYFUNCTION("""COMPUTED_VALUE"""),3.6315E8)</f>
        <v>363150000</v>
      </c>
      <c r="G486" s="16" t="str">
        <f>IFERROR(__xludf.DUMMYFUNCTION("""COMPUTED_VALUE"""),"DEF")</f>
        <v>DEF</v>
      </c>
      <c r="H486" s="118">
        <f>IFERROR(__xludf.DUMMYFUNCTION("""COMPUTED_VALUE"""),50000.0)</f>
        <v>50000</v>
      </c>
      <c r="I486" s="118">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8">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7">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7">
        <f>IFERROR(__xludf.DUMMYFUNCTION("""COMPUTED_VALUE"""),3.6315E8)</f>
        <v>363150000</v>
      </c>
      <c r="G488" s="16" t="str">
        <f>IFERROR(__xludf.DUMMYFUNCTION("""COMPUTED_VALUE"""),"DEF")</f>
        <v>DEF</v>
      </c>
      <c r="H488" s="118">
        <f>IFERROR(__xludf.DUMMYFUNCTION("""COMPUTED_VALUE"""),50000.0)</f>
        <v>50000</v>
      </c>
      <c r="I488" s="118">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8">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7">
        <f>IFERROR(__xludf.DUMMYFUNCTION("""COMPUTED_VALUE"""),3.6315E8)</f>
        <v>363150000</v>
      </c>
      <c r="G489" s="16" t="str">
        <f>IFERROR(__xludf.DUMMYFUNCTION("""COMPUTED_VALUE"""),"DEF")</f>
        <v>DEF</v>
      </c>
      <c r="H489" s="118">
        <f>IFERROR(__xludf.DUMMYFUNCTION("""COMPUTED_VALUE"""),50000.0)</f>
        <v>50000</v>
      </c>
      <c r="I489" s="118">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8">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7">
        <f>IFERROR(__xludf.DUMMYFUNCTION("""COMPUTED_VALUE"""),3.6315E8)</f>
        <v>363150000</v>
      </c>
      <c r="G490" s="16" t="str">
        <f>IFERROR(__xludf.DUMMYFUNCTION("""COMPUTED_VALUE"""),"DEF")</f>
        <v>DEF</v>
      </c>
      <c r="H490" s="118">
        <f>IFERROR(__xludf.DUMMYFUNCTION("""COMPUTED_VALUE"""),50000.0)</f>
        <v>50000</v>
      </c>
      <c r="I490" s="118">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8">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7">
        <f>IFERROR(__xludf.DUMMYFUNCTION("""COMPUTED_VALUE"""),3.6315E8)</f>
        <v>363150000</v>
      </c>
      <c r="G491" s="16" t="str">
        <f>IFERROR(__xludf.DUMMYFUNCTION("""COMPUTED_VALUE"""),"DEF")</f>
        <v>DEF</v>
      </c>
      <c r="H491" s="118">
        <f>IFERROR(__xludf.DUMMYFUNCTION("""COMPUTED_VALUE"""),50000.0)</f>
        <v>50000</v>
      </c>
      <c r="I491" s="118">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8">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7">
        <f>IFERROR(__xludf.DUMMYFUNCTION("""COMPUTED_VALUE"""),1.4553E9)</f>
        <v>1455300000</v>
      </c>
      <c r="G492" s="16" t="str">
        <f>IFERROR(__xludf.DUMMYFUNCTION("""COMPUTED_VALUE"""),"DEF")</f>
        <v>DEF</v>
      </c>
      <c r="H492" s="118">
        <f>IFERROR(__xludf.DUMMYFUNCTION("""COMPUTED_VALUE"""),100000.0)</f>
        <v>100000</v>
      </c>
      <c r="I492" s="118">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8">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7">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7">
        <f>IFERROR(__xludf.DUMMYFUNCTION("""COMPUTED_VALUE"""),1.272E8)</f>
        <v>127200000</v>
      </c>
      <c r="G494" s="16" t="str">
        <f>IFERROR(__xludf.DUMMYFUNCTION("""COMPUTED_VALUE"""),"DEF")</f>
        <v>DEF</v>
      </c>
      <c r="H494" s="118">
        <f>IFERROR(__xludf.DUMMYFUNCTION("""COMPUTED_VALUE"""),20000.0)</f>
        <v>20000</v>
      </c>
      <c r="I494" s="118">
        <f>IFERROR(__xludf.DUMMYFUNCTION("""COMPUTED_VALUE"""),5000.0)</f>
        <v>5000</v>
      </c>
      <c r="J494" s="16"/>
      <c r="K494" s="16"/>
      <c r="L494" s="16"/>
      <c r="M494" s="118">
        <f>IFERROR(__xludf.DUMMYFUNCTION("""COMPUTED_VALUE"""),35000.0)</f>
        <v>35000</v>
      </c>
      <c r="N494" s="16"/>
      <c r="O494" s="16"/>
      <c r="P494" s="16"/>
      <c r="Q494" s="16"/>
      <c r="R494" s="16"/>
      <c r="S494" s="16"/>
      <c r="T494" s="16"/>
      <c r="U494" s="16"/>
      <c r="V494" s="16"/>
      <c r="W494" s="16"/>
      <c r="X494" s="16"/>
      <c r="Y494" s="16"/>
      <c r="Z494" s="16"/>
      <c r="AA494" s="16"/>
      <c r="AB494" s="16"/>
      <c r="AC494" s="118">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7">
        <f>IFERROR(__xludf.DUMMYFUNCTION("""COMPUTED_VALUE"""),1.272E8)</f>
        <v>127200000</v>
      </c>
      <c r="G495" s="16" t="str">
        <f>IFERROR(__xludf.DUMMYFUNCTION("""COMPUTED_VALUE"""),"DEF")</f>
        <v>DEF</v>
      </c>
      <c r="H495" s="118">
        <f>IFERROR(__xludf.DUMMYFUNCTION("""COMPUTED_VALUE"""),20000.0)</f>
        <v>20000</v>
      </c>
      <c r="I495" s="118">
        <f>IFERROR(__xludf.DUMMYFUNCTION("""COMPUTED_VALUE"""),5000.0)</f>
        <v>5000</v>
      </c>
      <c r="J495" s="16"/>
      <c r="K495" s="16"/>
      <c r="L495" s="16"/>
      <c r="M495" s="118">
        <f>IFERROR(__xludf.DUMMYFUNCTION("""COMPUTED_VALUE"""),35000.0)</f>
        <v>35000</v>
      </c>
      <c r="N495" s="16"/>
      <c r="O495" s="16"/>
      <c r="P495" s="16"/>
      <c r="Q495" s="16"/>
      <c r="R495" s="16"/>
      <c r="S495" s="16"/>
      <c r="T495" s="16"/>
      <c r="U495" s="16"/>
      <c r="V495" s="16"/>
      <c r="W495" s="16"/>
      <c r="X495" s="16"/>
      <c r="Y495" s="16"/>
      <c r="Z495" s="16"/>
      <c r="AA495" s="16"/>
      <c r="AB495" s="16"/>
      <c r="AC495" s="118">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7">
        <f>IFERROR(__xludf.DUMMYFUNCTION("""COMPUTED_VALUE"""),7.201E8)</f>
        <v>720100000</v>
      </c>
      <c r="G496" s="16" t="str">
        <f>IFERROR(__xludf.DUMMYFUNCTION("""COMPUTED_VALUE"""),"DEF")</f>
        <v>DEF</v>
      </c>
      <c r="H496" s="118">
        <f>IFERROR(__xludf.DUMMYFUNCTION("""COMPUTED_VALUE"""),50000.0)</f>
        <v>50000</v>
      </c>
      <c r="I496" s="118">
        <f>IFERROR(__xludf.DUMMYFUNCTION("""COMPUTED_VALUE"""),20000.0)</f>
        <v>20000</v>
      </c>
      <c r="J496" s="16"/>
      <c r="K496" s="16"/>
      <c r="L496" s="16"/>
      <c r="M496" s="118">
        <f>IFERROR(__xludf.DUMMYFUNCTION("""COMPUTED_VALUE"""),70000.0)</f>
        <v>70000</v>
      </c>
      <c r="N496" s="16"/>
      <c r="O496" s="16"/>
      <c r="P496" s="16"/>
      <c r="Q496" s="16"/>
      <c r="R496" s="16"/>
      <c r="S496" s="16"/>
      <c r="T496" s="16"/>
      <c r="U496" s="16"/>
      <c r="V496" s="16"/>
      <c r="W496" s="16"/>
      <c r="X496" s="16"/>
      <c r="Y496" s="16"/>
      <c r="Z496" s="16"/>
      <c r="AA496" s="16"/>
      <c r="AB496" s="16"/>
      <c r="AC496" s="118">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7">
        <f>IFERROR(__xludf.DUMMYFUNCTION("""COMPUTED_VALUE"""),1.272E8)</f>
        <v>127200000</v>
      </c>
      <c r="G497" s="16" t="str">
        <f>IFERROR(__xludf.DUMMYFUNCTION("""COMPUTED_VALUE"""),"DEF")</f>
        <v>DEF</v>
      </c>
      <c r="H497" s="118">
        <f>IFERROR(__xludf.DUMMYFUNCTION("""COMPUTED_VALUE"""),20000.0)</f>
        <v>20000</v>
      </c>
      <c r="I497" s="118">
        <f>IFERROR(__xludf.DUMMYFUNCTION("""COMPUTED_VALUE"""),5000.0)</f>
        <v>5000</v>
      </c>
      <c r="J497" s="16"/>
      <c r="K497" s="16"/>
      <c r="L497" s="16"/>
      <c r="M497" s="118">
        <f>IFERROR(__xludf.DUMMYFUNCTION("""COMPUTED_VALUE"""),35000.0)</f>
        <v>35000</v>
      </c>
      <c r="N497" s="16"/>
      <c r="O497" s="16"/>
      <c r="P497" s="16"/>
      <c r="Q497" s="16"/>
      <c r="R497" s="16"/>
      <c r="S497" s="16"/>
      <c r="T497" s="16"/>
      <c r="U497" s="16"/>
      <c r="V497" s="16"/>
      <c r="W497" s="16"/>
      <c r="X497" s="16"/>
      <c r="Y497" s="16"/>
      <c r="Z497" s="16"/>
      <c r="AA497" s="16"/>
      <c r="AB497" s="16"/>
      <c r="AC497" s="118">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7">
        <f>IFERROR(__xludf.DUMMYFUNCTION("""COMPUTED_VALUE"""),1.272E8)</f>
        <v>127200000</v>
      </c>
      <c r="G498" s="16" t="str">
        <f>IFERROR(__xludf.DUMMYFUNCTION("""COMPUTED_VALUE"""),"DEF")</f>
        <v>DEF</v>
      </c>
      <c r="H498" s="118">
        <f>IFERROR(__xludf.DUMMYFUNCTION("""COMPUTED_VALUE"""),20000.0)</f>
        <v>20000</v>
      </c>
      <c r="I498" s="118">
        <f>IFERROR(__xludf.DUMMYFUNCTION("""COMPUTED_VALUE"""),5000.0)</f>
        <v>5000</v>
      </c>
      <c r="J498" s="16"/>
      <c r="K498" s="16"/>
      <c r="L498" s="16"/>
      <c r="M498" s="118">
        <f>IFERROR(__xludf.DUMMYFUNCTION("""COMPUTED_VALUE"""),35000.0)</f>
        <v>35000</v>
      </c>
      <c r="N498" s="16"/>
      <c r="O498" s="16"/>
      <c r="P498" s="16"/>
      <c r="Q498" s="16"/>
      <c r="R498" s="16"/>
      <c r="S498" s="16"/>
      <c r="T498" s="16"/>
      <c r="U498" s="16"/>
      <c r="V498" s="16"/>
      <c r="W498" s="16"/>
      <c r="X498" s="16"/>
      <c r="Y498" s="16"/>
      <c r="Z498" s="16"/>
      <c r="AA498" s="16"/>
      <c r="AB498" s="16"/>
      <c r="AC498" s="118">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7">
        <f>IFERROR(__xludf.DUMMYFUNCTION("""COMPUTED_VALUE"""),1.272E8)</f>
        <v>127200000</v>
      </c>
      <c r="G499" s="16" t="str">
        <f>IFERROR(__xludf.DUMMYFUNCTION("""COMPUTED_VALUE"""),"DEF")</f>
        <v>DEF</v>
      </c>
      <c r="H499" s="118">
        <f>IFERROR(__xludf.DUMMYFUNCTION("""COMPUTED_VALUE"""),20000.0)</f>
        <v>20000</v>
      </c>
      <c r="I499" s="118">
        <f>IFERROR(__xludf.DUMMYFUNCTION("""COMPUTED_VALUE"""),5000.0)</f>
        <v>5000</v>
      </c>
      <c r="J499" s="16"/>
      <c r="K499" s="16"/>
      <c r="L499" s="16"/>
      <c r="M499" s="118">
        <f>IFERROR(__xludf.DUMMYFUNCTION("""COMPUTED_VALUE"""),35000.0)</f>
        <v>35000</v>
      </c>
      <c r="N499" s="16"/>
      <c r="O499" s="16"/>
      <c r="P499" s="16"/>
      <c r="Q499" s="16"/>
      <c r="R499" s="16"/>
      <c r="S499" s="16"/>
      <c r="T499" s="16"/>
      <c r="U499" s="16"/>
      <c r="V499" s="16"/>
      <c r="W499" s="16"/>
      <c r="X499" s="16"/>
      <c r="Y499" s="16"/>
      <c r="Z499" s="16"/>
      <c r="AA499" s="16"/>
      <c r="AB499" s="16"/>
      <c r="AC499" s="118">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7">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7">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7">
        <f>IFERROR(__xludf.DUMMYFUNCTION("""COMPUTED_VALUE"""),1.2475E9)</f>
        <v>1247500000</v>
      </c>
      <c r="G502" s="16" t="str">
        <f>IFERROR(__xludf.DUMMYFUNCTION("""COMPUTED_VALUE"""),"DMG")</f>
        <v>DMG</v>
      </c>
      <c r="H502" s="118">
        <f>IFERROR(__xludf.DUMMYFUNCTION("""COMPUTED_VALUE"""),100000.0)</f>
        <v>100000</v>
      </c>
      <c r="I502" s="118">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8">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7">
        <f>IFERROR(__xludf.DUMMYFUNCTION("""COMPUTED_VALUE"""),1.2475E9)</f>
        <v>1247500000</v>
      </c>
      <c r="G503" s="16" t="str">
        <f>IFERROR(__xludf.DUMMYFUNCTION("""COMPUTED_VALUE"""),"DMG")</f>
        <v>DMG</v>
      </c>
      <c r="H503" s="118">
        <f>IFERROR(__xludf.DUMMYFUNCTION("""COMPUTED_VALUE"""),100000.0)</f>
        <v>100000</v>
      </c>
      <c r="I503" s="118">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8">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7">
        <f>IFERROR(__xludf.DUMMYFUNCTION("""COMPUTED_VALUE"""),7.98E8)</f>
        <v>798000000</v>
      </c>
      <c r="G504" s="16" t="str">
        <f>IFERROR(__xludf.DUMMYFUNCTION("""COMPUTED_VALUE"""),"DEF")</f>
        <v>DEF</v>
      </c>
      <c r="H504" s="118">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7">
        <f>IFERROR(__xludf.DUMMYFUNCTION("""COMPUTED_VALUE"""),7.98E8)</f>
        <v>798000000</v>
      </c>
      <c r="G505" s="16" t="str">
        <f>IFERROR(__xludf.DUMMYFUNCTION("""COMPUTED_VALUE"""),"DEF")</f>
        <v>DEF</v>
      </c>
      <c r="H505" s="118">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7">
        <f>IFERROR(__xludf.DUMMYFUNCTION("""COMPUTED_VALUE"""),7.98E8)</f>
        <v>798000000</v>
      </c>
      <c r="G506" s="16" t="str">
        <f>IFERROR(__xludf.DUMMYFUNCTION("""COMPUTED_VALUE"""),"DEF")</f>
        <v>DEF</v>
      </c>
      <c r="H506" s="118">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7">
        <f>IFERROR(__xludf.DUMMYFUNCTION("""COMPUTED_VALUE"""),7.98E8)</f>
        <v>798000000</v>
      </c>
      <c r="G507" s="16" t="str">
        <f>IFERROR(__xludf.DUMMYFUNCTION("""COMPUTED_VALUE"""),"DEF")</f>
        <v>DEF</v>
      </c>
      <c r="H507" s="118">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7">
        <f>IFERROR(__xludf.DUMMYFUNCTION("""COMPUTED_VALUE"""),7.98E8)</f>
        <v>798000000</v>
      </c>
      <c r="G508" s="16" t="str">
        <f>IFERROR(__xludf.DUMMYFUNCTION("""COMPUTED_VALUE"""),"DEF")</f>
        <v>DEF</v>
      </c>
      <c r="H508" s="118">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7">
        <f>IFERROR(__xludf.DUMMYFUNCTION("""COMPUTED_VALUE"""),7.98E8)</f>
        <v>798000000</v>
      </c>
      <c r="G509" s="16" t="str">
        <f>IFERROR(__xludf.DUMMYFUNCTION("""COMPUTED_VALUE"""),"DEF")</f>
        <v>DEF</v>
      </c>
      <c r="H509" s="118">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7">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7">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7">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7">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7">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7">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7">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7">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7">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7">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7">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7">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7">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7">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7">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7">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7">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7">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7">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7">
        <f>IFERROR(__xludf.DUMMYFUNCTION("""COMPUTED_VALUE"""),8.385E7)</f>
        <v>83850000</v>
      </c>
      <c r="G529" s="16" t="str">
        <f>IFERROR(__xludf.DUMMYFUNCTION("""COMPUTED_VALUE"""),"DMG")</f>
        <v>DMG</v>
      </c>
      <c r="H529" s="118">
        <f>IFERROR(__xludf.DUMMYFUNCTION("""COMPUTED_VALUE"""),20000.0)</f>
        <v>20000</v>
      </c>
      <c r="I529" s="16"/>
      <c r="J529" s="16"/>
      <c r="K529" s="16"/>
      <c r="L529" s="16"/>
      <c r="M529" s="16"/>
      <c r="N529" s="16"/>
      <c r="O529" s="16"/>
      <c r="P529" s="16"/>
      <c r="Q529" s="16"/>
      <c r="R529" s="118">
        <f>IFERROR(__xludf.DUMMYFUNCTION("""COMPUTED_VALUE"""),20000.0)</f>
        <v>20000</v>
      </c>
      <c r="S529" s="118">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7">
        <f>IFERROR(__xludf.DUMMYFUNCTION("""COMPUTED_VALUE"""),3.1125E8)</f>
        <v>311250000</v>
      </c>
      <c r="G530" s="16" t="str">
        <f>IFERROR(__xludf.DUMMYFUNCTION("""COMPUTED_VALUE"""),"DEF")</f>
        <v>DEF</v>
      </c>
      <c r="H530" s="118">
        <f>IFERROR(__xludf.DUMMYFUNCTION("""COMPUTED_VALUE"""),50000.0)</f>
        <v>50000</v>
      </c>
      <c r="I530" s="16"/>
      <c r="J530" s="16"/>
      <c r="K530" s="118">
        <f>IFERROR(__xludf.DUMMYFUNCTION("""COMPUTED_VALUE"""),25000.0)</f>
        <v>25000</v>
      </c>
      <c r="L530" s="16"/>
      <c r="M530" s="16"/>
      <c r="N530" s="16"/>
      <c r="O530" s="16"/>
      <c r="P530" s="16"/>
      <c r="Q530" s="118">
        <f>IFERROR(__xludf.DUMMYFUNCTION("""COMPUTED_VALUE"""),25000.0)</f>
        <v>25000</v>
      </c>
      <c r="R530" s="16"/>
      <c r="S530" s="16"/>
      <c r="T530" s="16"/>
      <c r="U530" s="16"/>
      <c r="V530" s="16"/>
      <c r="W530" s="16"/>
      <c r="X530" s="16"/>
      <c r="Y530" s="16"/>
      <c r="Z530" s="16"/>
      <c r="AA530" s="16"/>
      <c r="AB530" s="16"/>
      <c r="AC530" s="118">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7">
        <f>IFERROR(__xludf.DUMMYFUNCTION("""COMPUTED_VALUE"""),4.95E7)</f>
        <v>49500000</v>
      </c>
      <c r="G531" s="16" t="str">
        <f>IFERROR(__xludf.DUMMYFUNCTION("""COMPUTED_VALUE"""),"DEF")</f>
        <v>DEF</v>
      </c>
      <c r="H531" s="118">
        <f>IFERROR(__xludf.DUMMYFUNCTION("""COMPUTED_VALUE"""),20000.0)</f>
        <v>20000</v>
      </c>
      <c r="I531" s="16"/>
      <c r="J531" s="16"/>
      <c r="K531" s="118">
        <f>IFERROR(__xludf.DUMMYFUNCTION("""COMPUTED_VALUE"""),10000.0)</f>
        <v>10000</v>
      </c>
      <c r="L531" s="16"/>
      <c r="M531" s="16"/>
      <c r="N531" s="16"/>
      <c r="O531" s="16"/>
      <c r="P531" s="16"/>
      <c r="Q531" s="118">
        <f>IFERROR(__xludf.DUMMYFUNCTION("""COMPUTED_VALUE"""),10000.0)</f>
        <v>10000</v>
      </c>
      <c r="R531" s="16"/>
      <c r="S531" s="16"/>
      <c r="T531" s="16"/>
      <c r="U531" s="16"/>
      <c r="V531" s="16"/>
      <c r="W531" s="16"/>
      <c r="X531" s="16"/>
      <c r="Y531" s="16"/>
      <c r="Z531" s="16"/>
      <c r="AA531" s="16"/>
      <c r="AB531" s="16"/>
      <c r="AC531" s="118">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7">
        <f>IFERROR(__xludf.DUMMYFUNCTION("""COMPUTED_VALUE"""),4.95E7)</f>
        <v>49500000</v>
      </c>
      <c r="G532" s="16" t="str">
        <f>IFERROR(__xludf.DUMMYFUNCTION("""COMPUTED_VALUE"""),"DEF")</f>
        <v>DEF</v>
      </c>
      <c r="H532" s="118">
        <f>IFERROR(__xludf.DUMMYFUNCTION("""COMPUTED_VALUE"""),20000.0)</f>
        <v>20000</v>
      </c>
      <c r="I532" s="16"/>
      <c r="J532" s="16"/>
      <c r="K532" s="118">
        <f>IFERROR(__xludf.DUMMYFUNCTION("""COMPUTED_VALUE"""),10000.0)</f>
        <v>10000</v>
      </c>
      <c r="L532" s="16"/>
      <c r="M532" s="16"/>
      <c r="N532" s="16"/>
      <c r="O532" s="16"/>
      <c r="P532" s="16"/>
      <c r="Q532" s="118">
        <f>IFERROR(__xludf.DUMMYFUNCTION("""COMPUTED_VALUE"""),10000.0)</f>
        <v>10000</v>
      </c>
      <c r="R532" s="16"/>
      <c r="S532" s="16"/>
      <c r="T532" s="16"/>
      <c r="U532" s="16"/>
      <c r="V532" s="16"/>
      <c r="W532" s="16"/>
      <c r="X532" s="16"/>
      <c r="Y532" s="16"/>
      <c r="Z532" s="16"/>
      <c r="AA532" s="16"/>
      <c r="AB532" s="16"/>
      <c r="AC532" s="118">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7">
        <f>IFERROR(__xludf.DUMMYFUNCTION("""COMPUTED_VALUE"""),4.95E7)</f>
        <v>49500000</v>
      </c>
      <c r="G533" s="16" t="str">
        <f>IFERROR(__xludf.DUMMYFUNCTION("""COMPUTED_VALUE"""),"DEF")</f>
        <v>DEF</v>
      </c>
      <c r="H533" s="118">
        <f>IFERROR(__xludf.DUMMYFUNCTION("""COMPUTED_VALUE"""),20000.0)</f>
        <v>20000</v>
      </c>
      <c r="I533" s="16"/>
      <c r="J533" s="16"/>
      <c r="K533" s="118">
        <f>IFERROR(__xludf.DUMMYFUNCTION("""COMPUTED_VALUE"""),10000.0)</f>
        <v>10000</v>
      </c>
      <c r="L533" s="16"/>
      <c r="M533" s="16"/>
      <c r="N533" s="16"/>
      <c r="O533" s="16"/>
      <c r="P533" s="16"/>
      <c r="Q533" s="118">
        <f>IFERROR(__xludf.DUMMYFUNCTION("""COMPUTED_VALUE"""),10000.0)</f>
        <v>10000</v>
      </c>
      <c r="R533" s="16"/>
      <c r="S533" s="16"/>
      <c r="T533" s="16"/>
      <c r="U533" s="16"/>
      <c r="V533" s="16"/>
      <c r="W533" s="16"/>
      <c r="X533" s="16"/>
      <c r="Y533" s="16"/>
      <c r="Z533" s="16"/>
      <c r="AA533" s="16"/>
      <c r="AB533" s="16"/>
      <c r="AC533" s="118">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7">
        <f>IFERROR(__xludf.DUMMYFUNCTION("""COMPUTED_VALUE"""),1.1175E8)</f>
        <v>111750000</v>
      </c>
      <c r="G534" s="16" t="str">
        <f>IFERROR(__xludf.DUMMYFUNCTION("""COMPUTED_VALUE"""),"DEF")</f>
        <v>DEF</v>
      </c>
      <c r="H534" s="118">
        <f>IFERROR(__xludf.DUMMYFUNCTION("""COMPUTED_VALUE"""),30000.0)</f>
        <v>30000</v>
      </c>
      <c r="I534" s="16"/>
      <c r="J534" s="16"/>
      <c r="K534" s="118">
        <f>IFERROR(__xludf.DUMMYFUNCTION("""COMPUTED_VALUE"""),15000.0)</f>
        <v>15000</v>
      </c>
      <c r="L534" s="16"/>
      <c r="M534" s="16"/>
      <c r="N534" s="16"/>
      <c r="O534" s="16"/>
      <c r="P534" s="16"/>
      <c r="Q534" s="118">
        <f>IFERROR(__xludf.DUMMYFUNCTION("""COMPUTED_VALUE"""),15000.0)</f>
        <v>15000</v>
      </c>
      <c r="R534" s="16"/>
      <c r="S534" s="16"/>
      <c r="T534" s="16"/>
      <c r="U534" s="16"/>
      <c r="V534" s="16"/>
      <c r="W534" s="16"/>
      <c r="X534" s="16"/>
      <c r="Y534" s="16"/>
      <c r="Z534" s="16"/>
      <c r="AA534" s="16"/>
      <c r="AB534" s="16"/>
      <c r="AC534" s="118">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7">
        <f>IFERROR(__xludf.DUMMYFUNCTION("""COMPUTED_VALUE"""),4.95E7)</f>
        <v>49500000</v>
      </c>
      <c r="G535" s="16" t="str">
        <f>IFERROR(__xludf.DUMMYFUNCTION("""COMPUTED_VALUE"""),"DEF")</f>
        <v>DEF</v>
      </c>
      <c r="H535" s="118">
        <f>IFERROR(__xludf.DUMMYFUNCTION("""COMPUTED_VALUE"""),20000.0)</f>
        <v>20000</v>
      </c>
      <c r="I535" s="16"/>
      <c r="J535" s="16"/>
      <c r="K535" s="118">
        <f>IFERROR(__xludf.DUMMYFUNCTION("""COMPUTED_VALUE"""),10000.0)</f>
        <v>10000</v>
      </c>
      <c r="L535" s="16"/>
      <c r="M535" s="16"/>
      <c r="N535" s="16"/>
      <c r="O535" s="16"/>
      <c r="P535" s="16"/>
      <c r="Q535" s="118">
        <f>IFERROR(__xludf.DUMMYFUNCTION("""COMPUTED_VALUE"""),10000.0)</f>
        <v>10000</v>
      </c>
      <c r="R535" s="16"/>
      <c r="S535" s="16"/>
      <c r="T535" s="16"/>
      <c r="U535" s="16"/>
      <c r="V535" s="16"/>
      <c r="W535" s="16"/>
      <c r="X535" s="16"/>
      <c r="Y535" s="16"/>
      <c r="Z535" s="16"/>
      <c r="AA535" s="16"/>
      <c r="AB535" s="16"/>
      <c r="AC535" s="118">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7">
        <f>IFERROR(__xludf.DUMMYFUNCTION("""COMPUTED_VALUE"""),4.95E7)</f>
        <v>49500000</v>
      </c>
      <c r="G536" s="16" t="str">
        <f>IFERROR(__xludf.DUMMYFUNCTION("""COMPUTED_VALUE"""),"DEF")</f>
        <v>DEF</v>
      </c>
      <c r="H536" s="118">
        <f>IFERROR(__xludf.DUMMYFUNCTION("""COMPUTED_VALUE"""),20000.0)</f>
        <v>20000</v>
      </c>
      <c r="I536" s="16"/>
      <c r="J536" s="16"/>
      <c r="K536" s="118">
        <f>IFERROR(__xludf.DUMMYFUNCTION("""COMPUTED_VALUE"""),10000.0)</f>
        <v>10000</v>
      </c>
      <c r="L536" s="16"/>
      <c r="M536" s="16"/>
      <c r="N536" s="16"/>
      <c r="O536" s="16"/>
      <c r="P536" s="16"/>
      <c r="Q536" s="118">
        <f>IFERROR(__xludf.DUMMYFUNCTION("""COMPUTED_VALUE"""),10000.0)</f>
        <v>10000</v>
      </c>
      <c r="R536" s="16"/>
      <c r="S536" s="16"/>
      <c r="T536" s="16"/>
      <c r="U536" s="16"/>
      <c r="V536" s="16"/>
      <c r="W536" s="16"/>
      <c r="X536" s="16"/>
      <c r="Y536" s="16"/>
      <c r="Z536" s="16"/>
      <c r="AA536" s="16"/>
      <c r="AB536" s="16"/>
      <c r="AC536" s="118">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7">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7">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7">
        <f>IFERROR(__xludf.DUMMYFUNCTION("""COMPUTED_VALUE"""),1.99E8)</f>
        <v>199000000</v>
      </c>
      <c r="G539" s="16" t="str">
        <f>IFERROR(__xludf.DUMMYFUNCTION("""COMPUTED_VALUE"""),"DEF")</f>
        <v>DEF</v>
      </c>
      <c r="H539" s="118">
        <f>IFERROR(__xludf.DUMMYFUNCTION("""COMPUTED_VALUE"""),50000.0)</f>
        <v>50000</v>
      </c>
      <c r="I539" s="16"/>
      <c r="J539" s="16"/>
      <c r="K539" s="118">
        <f>IFERROR(__xludf.DUMMYFUNCTION("""COMPUTED_VALUE"""),25000.0)</f>
        <v>25000</v>
      </c>
      <c r="L539" s="16"/>
      <c r="M539" s="16"/>
      <c r="N539" s="16"/>
      <c r="O539" s="16"/>
      <c r="P539" s="16"/>
      <c r="Q539" s="118">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7">
        <f>IFERROR(__xludf.DUMMYFUNCTION("""COMPUTED_VALUE"""),7.194E9)</f>
        <v>7194000000</v>
      </c>
      <c r="G540" s="16" t="str">
        <f>IFERROR(__xludf.DUMMYFUNCTION("""COMPUTED_VALUE"""),"DMG")</f>
        <v>DMG</v>
      </c>
      <c r="H540" s="118">
        <f>IFERROR(__xludf.DUMMYFUNCTION("""COMPUTED_VALUE"""),200000.0)</f>
        <v>200000</v>
      </c>
      <c r="I540" s="16"/>
      <c r="J540" s="16"/>
      <c r="K540" s="16"/>
      <c r="L540" s="16"/>
      <c r="M540" s="16"/>
      <c r="N540" s="16"/>
      <c r="O540" s="16"/>
      <c r="P540" s="16"/>
      <c r="Q540" s="16"/>
      <c r="R540" s="118">
        <f>IFERROR(__xludf.DUMMYFUNCTION("""COMPUTED_VALUE"""),200000.0)</f>
        <v>200000</v>
      </c>
      <c r="S540" s="118">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7">
        <f>IFERROR(__xludf.DUMMYFUNCTION("""COMPUTED_VALUE"""),1.797E9)</f>
        <v>1797000000</v>
      </c>
      <c r="G541" s="16" t="str">
        <f>IFERROR(__xludf.DUMMYFUNCTION("""COMPUTED_VALUE"""),"DEF")</f>
        <v>DEF</v>
      </c>
      <c r="H541" s="118">
        <f>IFERROR(__xludf.DUMMYFUNCTION("""COMPUTED_VALUE"""),150000.0)</f>
        <v>150000</v>
      </c>
      <c r="I541" s="16"/>
      <c r="J541" s="16"/>
      <c r="K541" s="118">
        <f>IFERROR(__xludf.DUMMYFUNCTION("""COMPUTED_VALUE"""),75000.0)</f>
        <v>75000</v>
      </c>
      <c r="L541" s="16"/>
      <c r="M541" s="16"/>
      <c r="N541" s="16"/>
      <c r="O541" s="16"/>
      <c r="P541" s="16"/>
      <c r="Q541" s="118">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7">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7">
        <f>IFERROR(__xludf.DUMMYFUNCTION("""COMPUTED_VALUE"""),7.98E8)</f>
        <v>798000000</v>
      </c>
      <c r="G543" s="16" t="str">
        <f>IFERROR(__xludf.DUMMYFUNCTION("""COMPUTED_VALUE"""),"DEF")</f>
        <v>DEF</v>
      </c>
      <c r="H543" s="118">
        <f>IFERROR(__xludf.DUMMYFUNCTION("""COMPUTED_VALUE"""),100000.0)</f>
        <v>100000</v>
      </c>
      <c r="I543" s="16"/>
      <c r="J543" s="16"/>
      <c r="K543" s="118">
        <f>IFERROR(__xludf.DUMMYFUNCTION("""COMPUTED_VALUE"""),50000.0)</f>
        <v>50000</v>
      </c>
      <c r="L543" s="16"/>
      <c r="M543" s="16"/>
      <c r="N543" s="16"/>
      <c r="O543" s="16"/>
      <c r="P543" s="16"/>
      <c r="Q543" s="118">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7">
        <f>IFERROR(__xludf.DUMMYFUNCTION("""COMPUTED_VALUE"""),1.99E8)</f>
        <v>199000000</v>
      </c>
      <c r="G544" s="16" t="str">
        <f>IFERROR(__xludf.DUMMYFUNCTION("""COMPUTED_VALUE"""),"DEF")</f>
        <v>DEF</v>
      </c>
      <c r="H544" s="118">
        <f>IFERROR(__xludf.DUMMYFUNCTION("""COMPUTED_VALUE"""),50000.0)</f>
        <v>50000</v>
      </c>
      <c r="I544" s="16"/>
      <c r="J544" s="16"/>
      <c r="K544" s="118">
        <f>IFERROR(__xludf.DUMMYFUNCTION("""COMPUTED_VALUE"""),25000.0)</f>
        <v>25000</v>
      </c>
      <c r="L544" s="16"/>
      <c r="M544" s="16"/>
      <c r="N544" s="16"/>
      <c r="O544" s="16"/>
      <c r="P544" s="16"/>
      <c r="Q544" s="118">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7">
        <f>IFERROR(__xludf.DUMMYFUNCTION("""COMPUTED_VALUE"""),1.99E8)</f>
        <v>199000000</v>
      </c>
      <c r="G545" s="16" t="str">
        <f>IFERROR(__xludf.DUMMYFUNCTION("""COMPUTED_VALUE"""),"DEF")</f>
        <v>DEF</v>
      </c>
      <c r="H545" s="118">
        <f>IFERROR(__xludf.DUMMYFUNCTION("""COMPUTED_VALUE"""),50000.0)</f>
        <v>50000</v>
      </c>
      <c r="I545" s="16"/>
      <c r="J545" s="16"/>
      <c r="K545" s="118">
        <f>IFERROR(__xludf.DUMMYFUNCTION("""COMPUTED_VALUE"""),25000.0)</f>
        <v>25000</v>
      </c>
      <c r="L545" s="16"/>
      <c r="M545" s="16"/>
      <c r="N545" s="16"/>
      <c r="O545" s="16"/>
      <c r="P545" s="16"/>
      <c r="Q545" s="118">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7">
        <f>IFERROR(__xludf.DUMMYFUNCTION("""COMPUTED_VALUE"""),1.99E8)</f>
        <v>199000000</v>
      </c>
      <c r="G546" s="16" t="str">
        <f>IFERROR(__xludf.DUMMYFUNCTION("""COMPUTED_VALUE"""),"DEF")</f>
        <v>DEF</v>
      </c>
      <c r="H546" s="118">
        <f>IFERROR(__xludf.DUMMYFUNCTION("""COMPUTED_VALUE"""),50000.0)</f>
        <v>50000</v>
      </c>
      <c r="I546" s="16"/>
      <c r="J546" s="16"/>
      <c r="K546" s="118">
        <f>IFERROR(__xludf.DUMMYFUNCTION("""COMPUTED_VALUE"""),25000.0)</f>
        <v>25000</v>
      </c>
      <c r="L546" s="16"/>
      <c r="M546" s="16"/>
      <c r="N546" s="16"/>
      <c r="O546" s="16"/>
      <c r="P546" s="16"/>
      <c r="Q546" s="118">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7">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7">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7">
        <f>IFERROR(__xludf.DUMMYFUNCTION("""COMPUTED_VALUE"""),1.1175E8)</f>
        <v>111750000</v>
      </c>
      <c r="G549" s="16" t="str">
        <f>IFERROR(__xludf.DUMMYFUNCTION("""COMPUTED_VALUE"""),"DEF")</f>
        <v>DEF</v>
      </c>
      <c r="H549" s="118">
        <f>IFERROR(__xludf.DUMMYFUNCTION("""COMPUTED_VALUE"""),25000.0)</f>
        <v>25000</v>
      </c>
      <c r="I549" s="118">
        <f>IFERROR(__xludf.DUMMYFUNCTION("""COMPUTED_VALUE"""),10000.0)</f>
        <v>10000</v>
      </c>
      <c r="J549" s="16"/>
      <c r="K549" s="118">
        <f>IFERROR(__xludf.DUMMYFUNCTION("""COMPUTED_VALUE"""),5000.0)</f>
        <v>5000</v>
      </c>
      <c r="L549" s="16"/>
      <c r="M549" s="16"/>
      <c r="N549" s="16"/>
      <c r="O549" s="16"/>
      <c r="P549" s="16"/>
      <c r="Q549" s="16"/>
      <c r="R549" s="16"/>
      <c r="S549" s="118">
        <f>IFERROR(__xludf.DUMMYFUNCTION("""COMPUTED_VALUE"""),25000.0)</f>
        <v>25000</v>
      </c>
      <c r="T549" s="16"/>
      <c r="U549" s="16"/>
      <c r="V549" s="16"/>
      <c r="W549" s="16"/>
      <c r="X549" s="16"/>
      <c r="Y549" s="16"/>
      <c r="Z549" s="16"/>
      <c r="AA549" s="16"/>
      <c r="AB549" s="16"/>
      <c r="AC549" s="118">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7">
        <f>IFERROR(__xludf.DUMMYFUNCTION("""COMPUTED_VALUE"""),1.1175E8)</f>
        <v>111750000</v>
      </c>
      <c r="G550" s="16" t="str">
        <f>IFERROR(__xludf.DUMMYFUNCTION("""COMPUTED_VALUE"""),"DEF")</f>
        <v>DEF</v>
      </c>
      <c r="H550" s="118">
        <f>IFERROR(__xludf.DUMMYFUNCTION("""COMPUTED_VALUE"""),25000.0)</f>
        <v>25000</v>
      </c>
      <c r="I550" s="118">
        <f>IFERROR(__xludf.DUMMYFUNCTION("""COMPUTED_VALUE"""),10000.0)</f>
        <v>10000</v>
      </c>
      <c r="J550" s="16"/>
      <c r="K550" s="118">
        <f>IFERROR(__xludf.DUMMYFUNCTION("""COMPUTED_VALUE"""),5000.0)</f>
        <v>5000</v>
      </c>
      <c r="L550" s="16"/>
      <c r="M550" s="16"/>
      <c r="N550" s="16"/>
      <c r="O550" s="16"/>
      <c r="P550" s="16"/>
      <c r="Q550" s="16"/>
      <c r="R550" s="16"/>
      <c r="S550" s="118">
        <f>IFERROR(__xludf.DUMMYFUNCTION("""COMPUTED_VALUE"""),25000.0)</f>
        <v>25000</v>
      </c>
      <c r="T550" s="16"/>
      <c r="U550" s="16"/>
      <c r="V550" s="16"/>
      <c r="W550" s="16"/>
      <c r="X550" s="16"/>
      <c r="Y550" s="16"/>
      <c r="Z550" s="16"/>
      <c r="AA550" s="16"/>
      <c r="AB550" s="16"/>
      <c r="AC550" s="118">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7">
        <f>IFERROR(__xludf.DUMMYFUNCTION("""COMPUTED_VALUE"""),1.99E8)</f>
        <v>199000000</v>
      </c>
      <c r="G551" s="16" t="str">
        <f>IFERROR(__xludf.DUMMYFUNCTION("""COMPUTED_VALUE"""),"DEF")</f>
        <v>DEF</v>
      </c>
      <c r="H551" s="118">
        <f>IFERROR(__xludf.DUMMYFUNCTION("""COMPUTED_VALUE"""),35000.0)</f>
        <v>35000</v>
      </c>
      <c r="I551" s="118">
        <f>IFERROR(__xludf.DUMMYFUNCTION("""COMPUTED_VALUE"""),15000.0)</f>
        <v>15000</v>
      </c>
      <c r="J551" s="16"/>
      <c r="K551" s="118">
        <f>IFERROR(__xludf.DUMMYFUNCTION("""COMPUTED_VALUE"""),5000.0)</f>
        <v>5000</v>
      </c>
      <c r="L551" s="16"/>
      <c r="M551" s="16"/>
      <c r="N551" s="16"/>
      <c r="O551" s="16"/>
      <c r="P551" s="16"/>
      <c r="Q551" s="16"/>
      <c r="R551" s="16"/>
      <c r="S551" s="118">
        <f>IFERROR(__xludf.DUMMYFUNCTION("""COMPUTED_VALUE"""),30000.0)</f>
        <v>30000</v>
      </c>
      <c r="T551" s="16"/>
      <c r="U551" s="16"/>
      <c r="V551" s="16"/>
      <c r="W551" s="16"/>
      <c r="X551" s="16"/>
      <c r="Y551" s="16"/>
      <c r="Z551" s="16"/>
      <c r="AA551" s="16"/>
      <c r="AB551" s="16"/>
      <c r="AC551" s="118">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7">
        <f>IFERROR(__xludf.DUMMYFUNCTION("""COMPUTED_VALUE"""),1.1175E8)</f>
        <v>111750000</v>
      </c>
      <c r="G552" s="16" t="str">
        <f>IFERROR(__xludf.DUMMYFUNCTION("""COMPUTED_VALUE"""),"DEF")</f>
        <v>DEF</v>
      </c>
      <c r="H552" s="118">
        <f>IFERROR(__xludf.DUMMYFUNCTION("""COMPUTED_VALUE"""),25000.0)</f>
        <v>25000</v>
      </c>
      <c r="I552" s="118">
        <f>IFERROR(__xludf.DUMMYFUNCTION("""COMPUTED_VALUE"""),10000.0)</f>
        <v>10000</v>
      </c>
      <c r="J552" s="16"/>
      <c r="K552" s="118">
        <f>IFERROR(__xludf.DUMMYFUNCTION("""COMPUTED_VALUE"""),5000.0)</f>
        <v>5000</v>
      </c>
      <c r="L552" s="16"/>
      <c r="M552" s="16"/>
      <c r="N552" s="16"/>
      <c r="O552" s="16"/>
      <c r="P552" s="16"/>
      <c r="Q552" s="16"/>
      <c r="R552" s="16"/>
      <c r="S552" s="118">
        <f>IFERROR(__xludf.DUMMYFUNCTION("""COMPUTED_VALUE"""),25000.0)</f>
        <v>25000</v>
      </c>
      <c r="T552" s="16"/>
      <c r="U552" s="16"/>
      <c r="V552" s="16"/>
      <c r="W552" s="16"/>
      <c r="X552" s="16"/>
      <c r="Y552" s="16"/>
      <c r="Z552" s="16"/>
      <c r="AA552" s="16"/>
      <c r="AB552" s="16"/>
      <c r="AC552" s="118">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7">
        <f>IFERROR(__xludf.DUMMYFUNCTION("""COMPUTED_VALUE"""),1.99E8)</f>
        <v>199000000</v>
      </c>
      <c r="G553" s="16" t="str">
        <f>IFERROR(__xludf.DUMMYFUNCTION("""COMPUTED_VALUE"""),"DMG")</f>
        <v>DMG</v>
      </c>
      <c r="H553" s="118">
        <f>IFERROR(__xludf.DUMMYFUNCTION("""COMPUTED_VALUE"""),50000.0)</f>
        <v>50000</v>
      </c>
      <c r="I553" s="118">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8">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7">
        <f>IFERROR(__xludf.DUMMYFUNCTION("""COMPUTED_VALUE"""),5.4285E8)</f>
        <v>542850000</v>
      </c>
      <c r="G554" s="16" t="str">
        <f>IFERROR(__xludf.DUMMYFUNCTION("""COMPUTED_VALUE"""),"DEF")</f>
        <v>DEF</v>
      </c>
      <c r="H554" s="118">
        <f>IFERROR(__xludf.DUMMYFUNCTION("""COMPUTED_VALUE"""),50000.0)</f>
        <v>50000</v>
      </c>
      <c r="I554" s="118">
        <f>IFERROR(__xludf.DUMMYFUNCTION("""COMPUTED_VALUE"""),25000.0)</f>
        <v>25000</v>
      </c>
      <c r="J554" s="16"/>
      <c r="K554" s="118">
        <f>IFERROR(__xludf.DUMMYFUNCTION("""COMPUTED_VALUE"""),15000.0)</f>
        <v>15000</v>
      </c>
      <c r="L554" s="16"/>
      <c r="M554" s="16"/>
      <c r="N554" s="16"/>
      <c r="O554" s="16"/>
      <c r="P554" s="16"/>
      <c r="Q554" s="16"/>
      <c r="R554" s="16"/>
      <c r="S554" s="118">
        <f>IFERROR(__xludf.DUMMYFUNCTION("""COMPUTED_VALUE"""),50000.0)</f>
        <v>50000</v>
      </c>
      <c r="T554" s="16"/>
      <c r="U554" s="16"/>
      <c r="V554" s="16"/>
      <c r="W554" s="16"/>
      <c r="X554" s="16"/>
      <c r="Y554" s="16"/>
      <c r="Z554" s="16"/>
      <c r="AA554" s="16"/>
      <c r="AB554" s="16"/>
      <c r="AC554" s="118">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7">
        <f>IFERROR(__xludf.DUMMYFUNCTION("""COMPUTED_VALUE"""),1.1175E8)</f>
        <v>111750000</v>
      </c>
      <c r="G555" s="16" t="str">
        <f>IFERROR(__xludf.DUMMYFUNCTION("""COMPUTED_VALUE"""),"DEF")</f>
        <v>DEF</v>
      </c>
      <c r="H555" s="118">
        <f>IFERROR(__xludf.DUMMYFUNCTION("""COMPUTED_VALUE"""),25000.0)</f>
        <v>25000</v>
      </c>
      <c r="I555" s="118">
        <f>IFERROR(__xludf.DUMMYFUNCTION("""COMPUTED_VALUE"""),10000.0)</f>
        <v>10000</v>
      </c>
      <c r="J555" s="16"/>
      <c r="K555" s="118">
        <f>IFERROR(__xludf.DUMMYFUNCTION("""COMPUTED_VALUE"""),5000.0)</f>
        <v>5000</v>
      </c>
      <c r="L555" s="16"/>
      <c r="M555" s="16"/>
      <c r="N555" s="16"/>
      <c r="O555" s="16"/>
      <c r="P555" s="16"/>
      <c r="Q555" s="16"/>
      <c r="R555" s="16"/>
      <c r="S555" s="118">
        <f>IFERROR(__xludf.DUMMYFUNCTION("""COMPUTED_VALUE"""),25000.0)</f>
        <v>25000</v>
      </c>
      <c r="T555" s="16"/>
      <c r="U555" s="16"/>
      <c r="V555" s="16"/>
      <c r="W555" s="16"/>
      <c r="X555" s="16"/>
      <c r="Y555" s="16"/>
      <c r="Z555" s="16"/>
      <c r="AA555" s="16"/>
      <c r="AB555" s="16"/>
      <c r="AC555" s="118">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7">
        <f>IFERROR(__xludf.DUMMYFUNCTION("""COMPUTED_VALUE"""),1.1175E8)</f>
        <v>111750000</v>
      </c>
      <c r="G556" s="16" t="str">
        <f>IFERROR(__xludf.DUMMYFUNCTION("""COMPUTED_VALUE"""),"DEF")</f>
        <v>DEF</v>
      </c>
      <c r="H556" s="118">
        <f>IFERROR(__xludf.DUMMYFUNCTION("""COMPUTED_VALUE"""),25000.0)</f>
        <v>25000</v>
      </c>
      <c r="I556" s="118">
        <f>IFERROR(__xludf.DUMMYFUNCTION("""COMPUTED_VALUE"""),10000.0)</f>
        <v>10000</v>
      </c>
      <c r="J556" s="16"/>
      <c r="K556" s="118">
        <f>IFERROR(__xludf.DUMMYFUNCTION("""COMPUTED_VALUE"""),5000.0)</f>
        <v>5000</v>
      </c>
      <c r="L556" s="16"/>
      <c r="M556" s="16"/>
      <c r="N556" s="16"/>
      <c r="O556" s="16"/>
      <c r="P556" s="16"/>
      <c r="Q556" s="16"/>
      <c r="R556" s="16"/>
      <c r="S556" s="118">
        <f>IFERROR(__xludf.DUMMYFUNCTION("""COMPUTED_VALUE"""),25000.0)</f>
        <v>25000</v>
      </c>
      <c r="T556" s="16"/>
      <c r="U556" s="16"/>
      <c r="V556" s="16"/>
      <c r="W556" s="16"/>
      <c r="X556" s="16"/>
      <c r="Y556" s="16"/>
      <c r="Z556" s="16"/>
      <c r="AA556" s="16"/>
      <c r="AB556" s="16"/>
      <c r="AC556" s="118">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7">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7">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7">
        <f>IFERROR(__xludf.DUMMYFUNCTION("""COMPUTED_VALUE"""),7800000.0)</f>
        <v>7800000</v>
      </c>
      <c r="G559" s="16" t="str">
        <f>IFERROR(__xludf.DUMMYFUNCTION("""COMPUTED_VALUE"""),"DEF")</f>
        <v>DEF</v>
      </c>
      <c r="H559" s="118">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7">
        <f>IFERROR(__xludf.DUMMYFUNCTION("""COMPUTED_VALUE"""),7800000.0)</f>
        <v>7800000</v>
      </c>
      <c r="G560" s="16" t="str">
        <f>IFERROR(__xludf.DUMMYFUNCTION("""COMPUTED_VALUE"""),"DEF")</f>
        <v>DEF</v>
      </c>
      <c r="H560" s="118">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7">
        <f>IFERROR(__xludf.DUMMYFUNCTION("""COMPUTED_VALUE"""),3.16E7)</f>
        <v>31600000</v>
      </c>
      <c r="G561" s="16" t="str">
        <f>IFERROR(__xludf.DUMMYFUNCTION("""COMPUTED_VALUE"""),"DEF")</f>
        <v>DEF</v>
      </c>
      <c r="H561" s="118">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7">
        <f>IFERROR(__xludf.DUMMYFUNCTION("""COMPUTED_VALUE"""),7800000.0)</f>
        <v>7800000</v>
      </c>
      <c r="G562" s="16" t="str">
        <f>IFERROR(__xludf.DUMMYFUNCTION("""COMPUTED_VALUE"""),"DEF")</f>
        <v>DEF</v>
      </c>
      <c r="H562" s="118">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7">
        <f>IFERROR(__xludf.DUMMYFUNCTION("""COMPUTED_VALUE"""),4.005E7)</f>
        <v>40050000</v>
      </c>
      <c r="G563" s="16" t="str">
        <f>IFERROR(__xludf.DUMMYFUNCTION("""COMPUTED_VALUE"""),"DMG")</f>
        <v>DMG</v>
      </c>
      <c r="H563" s="118">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8">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7">
        <f>IFERROR(__xludf.DUMMYFUNCTION("""COMPUTED_VALUE"""),1.1175E8)</f>
        <v>111750000</v>
      </c>
      <c r="G564" s="16" t="str">
        <f>IFERROR(__xludf.DUMMYFUNCTION("""COMPUTED_VALUE"""),"DEF")</f>
        <v>DEF</v>
      </c>
      <c r="H564" s="118">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8">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7">
        <f>IFERROR(__xludf.DUMMYFUNCTION("""COMPUTED_VALUE"""),7800000.0)</f>
        <v>7800000</v>
      </c>
      <c r="G565" s="16" t="str">
        <f>IFERROR(__xludf.DUMMYFUNCTION("""COMPUTED_VALUE"""),"DEF")</f>
        <v>DEF</v>
      </c>
      <c r="H565" s="118">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7">
        <f>IFERROR(__xludf.DUMMYFUNCTION("""COMPUTED_VALUE"""),7800000.0)</f>
        <v>7800000</v>
      </c>
      <c r="G566" s="16" t="str">
        <f>IFERROR(__xludf.DUMMYFUNCTION("""COMPUTED_VALUE"""),"DEF")</f>
        <v>DEF</v>
      </c>
      <c r="H566" s="118">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7">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7">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7">
        <f>IFERROR(__xludf.DUMMYFUNCTION("""COMPUTED_VALUE"""),3.16E7)</f>
        <v>31600000</v>
      </c>
      <c r="G569" s="16" t="str">
        <f>IFERROR(__xludf.DUMMYFUNCTION("""COMPUTED_VALUE"""),"DEF")</f>
        <v>DEF</v>
      </c>
      <c r="H569" s="118">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7">
        <f>IFERROR(__xludf.DUMMYFUNCTION("""COMPUTED_VALUE"""),3.16E7)</f>
        <v>31600000</v>
      </c>
      <c r="G570" s="16" t="str">
        <f>IFERROR(__xludf.DUMMYFUNCTION("""COMPUTED_VALUE"""),"DEF")</f>
        <v>DEF</v>
      </c>
      <c r="H570" s="118">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7">
        <f>IFERROR(__xludf.DUMMYFUNCTION("""COMPUTED_VALUE"""),3.16E7)</f>
        <v>31600000</v>
      </c>
      <c r="G571" s="16" t="str">
        <f>IFERROR(__xludf.DUMMYFUNCTION("""COMPUTED_VALUE"""),"DEF")</f>
        <v>DEF</v>
      </c>
      <c r="H571" s="118">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7">
        <f>IFERROR(__xludf.DUMMYFUNCTION("""COMPUTED_VALUE"""),7.14E7)</f>
        <v>71400000</v>
      </c>
      <c r="G572" s="16" t="str">
        <f>IFERROR(__xludf.DUMMYFUNCTION("""COMPUTED_VALUE"""),"DMG")</f>
        <v>DMG</v>
      </c>
      <c r="H572" s="118">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7">
        <f>IFERROR(__xludf.DUMMYFUNCTION("""COMPUTED_VALUE"""),3.16E7)</f>
        <v>31600000</v>
      </c>
      <c r="G573" s="16" t="str">
        <f>IFERROR(__xludf.DUMMYFUNCTION("""COMPUTED_VALUE"""),"DEF")</f>
        <v>DEF</v>
      </c>
      <c r="H573" s="118">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7">
        <f>IFERROR(__xludf.DUMMYFUNCTION("""COMPUTED_VALUE"""),4.95E7)</f>
        <v>49500000</v>
      </c>
      <c r="G574" s="16" t="str">
        <f>IFERROR(__xludf.DUMMYFUNCTION("""COMPUTED_VALUE"""),"DMG")</f>
        <v>DMG</v>
      </c>
      <c r="H574" s="118">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7">
        <f>IFERROR(__xludf.DUMMYFUNCTION("""COMPUTED_VALUE"""),4.95E7)</f>
        <v>49500000</v>
      </c>
      <c r="G575" s="16" t="str">
        <f>IFERROR(__xludf.DUMMYFUNCTION("""COMPUTED_VALUE"""),"DEF")</f>
        <v>DEF</v>
      </c>
      <c r="H575" s="118">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7">
        <f>IFERROR(__xludf.DUMMYFUNCTION("""COMPUTED_VALUE"""),4.95E7)</f>
        <v>49500000</v>
      </c>
      <c r="G576" s="16" t="str">
        <f>IFERROR(__xludf.DUMMYFUNCTION("""COMPUTED_VALUE"""),"DEF")</f>
        <v>DEF</v>
      </c>
      <c r="H576" s="118">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7">
        <f>IFERROR(__xludf.DUMMYFUNCTION("""COMPUTED_VALUE"""),4.95E7)</f>
        <v>49500000</v>
      </c>
      <c r="G577" s="16" t="str">
        <f>IFERROR(__xludf.DUMMYFUNCTION("""COMPUTED_VALUE"""),"DEF")</f>
        <v>DEF</v>
      </c>
      <c r="H577" s="118">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7">
        <f>IFERROR(__xludf.DUMMYFUNCTION("""COMPUTED_VALUE"""),4.95E7)</f>
        <v>49500000</v>
      </c>
      <c r="G578" s="16" t="str">
        <f>IFERROR(__xludf.DUMMYFUNCTION("""COMPUTED_VALUE"""),"DEF")</f>
        <v>DEF</v>
      </c>
      <c r="H578" s="118">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7">
        <f>IFERROR(__xludf.DUMMYFUNCTION("""COMPUTED_VALUE"""),4.95E7)</f>
        <v>49500000</v>
      </c>
      <c r="G579" s="16" t="str">
        <f>IFERROR(__xludf.DUMMYFUNCTION("""COMPUTED_VALUE"""),"DEF")</f>
        <v>DEF</v>
      </c>
      <c r="H579" s="118">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7">
        <f>IFERROR(__xludf.DUMMYFUNCTION("""COMPUTED_VALUE"""),4.95E7)</f>
        <v>49500000</v>
      </c>
      <c r="G580" s="16" t="str">
        <f>IFERROR(__xludf.DUMMYFUNCTION("""COMPUTED_VALUE"""),"DEF")</f>
        <v>DEF</v>
      </c>
      <c r="H580" s="118">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7">
        <f>IFERROR(__xludf.DUMMYFUNCTION("""COMPUTED_VALUE"""),4.485E8)</f>
        <v>448500000</v>
      </c>
      <c r="G581" s="16" t="str">
        <f>IFERROR(__xludf.DUMMYFUNCTION("""COMPUTED_VALUE"""),"DMG")</f>
        <v>DMG</v>
      </c>
      <c r="H581" s="118">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7">
        <f>IFERROR(__xludf.DUMMYFUNCTION("""COMPUTED_VALUE"""),1.1175E8)</f>
        <v>111750000</v>
      </c>
      <c r="G582" s="16" t="str">
        <f>IFERROR(__xludf.DUMMYFUNCTION("""COMPUTED_VALUE"""),"DMG")</f>
        <v>DMG</v>
      </c>
      <c r="H582" s="118">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7">
        <f>IFERROR(__xludf.DUMMYFUNCTION("""COMPUTED_VALUE"""),1.99E8)</f>
        <v>199000000</v>
      </c>
      <c r="G583" s="16" t="str">
        <f>IFERROR(__xludf.DUMMYFUNCTION("""COMPUTED_VALUE"""),"DMG")</f>
        <v>DMG</v>
      </c>
      <c r="H583" s="118">
        <f>IFERROR(__xludf.DUMMYFUNCTION("""COMPUTED_VALUE"""),75000.0)</f>
        <v>75000</v>
      </c>
      <c r="I583" s="16"/>
      <c r="J583" s="16"/>
      <c r="K583" s="16"/>
      <c r="L583" s="16"/>
      <c r="M583" s="16"/>
      <c r="N583" s="16"/>
      <c r="O583" s="16"/>
      <c r="P583" s="16"/>
      <c r="Q583" s="16"/>
      <c r="R583" s="16"/>
      <c r="S583" s="16"/>
      <c r="T583" s="16"/>
      <c r="U583" s="16"/>
      <c r="V583" s="16"/>
      <c r="W583" s="16"/>
      <c r="X583" s="118">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7">
        <f>IFERROR(__xludf.DUMMYFUNCTION("""COMPUTED_VALUE"""),1.99E8)</f>
        <v>199000000</v>
      </c>
      <c r="G584" s="16" t="str">
        <f>IFERROR(__xludf.DUMMYFUNCTION("""COMPUTED_VALUE"""),"DMG")</f>
        <v>DMG</v>
      </c>
      <c r="H584" s="118">
        <f>IFERROR(__xludf.DUMMYFUNCTION("""COMPUTED_VALUE"""),75000.0)</f>
        <v>75000</v>
      </c>
      <c r="I584" s="16"/>
      <c r="J584" s="16"/>
      <c r="K584" s="16"/>
      <c r="L584" s="16"/>
      <c r="M584" s="16"/>
      <c r="N584" s="16"/>
      <c r="O584" s="16"/>
      <c r="P584" s="16"/>
      <c r="Q584" s="16"/>
      <c r="R584" s="16"/>
      <c r="S584" s="16"/>
      <c r="T584" s="16"/>
      <c r="U584" s="16"/>
      <c r="V584" s="16"/>
      <c r="W584" s="16"/>
      <c r="X584" s="118">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7">
        <f>IFERROR(__xludf.DUMMYFUNCTION("""COMPUTED_VALUE"""),3.1125E8)</f>
        <v>311250000</v>
      </c>
      <c r="G585" s="16" t="str">
        <f>IFERROR(__xludf.DUMMYFUNCTION("""COMPUTED_VALUE"""),"DMG")</f>
        <v>DMG</v>
      </c>
      <c r="H585" s="118">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7">
        <f>IFERROR(__xludf.DUMMYFUNCTION("""COMPUTED_VALUE"""),3.1125E8)</f>
        <v>311250000</v>
      </c>
      <c r="G586" s="16" t="str">
        <f>IFERROR(__xludf.DUMMYFUNCTION("""COMPUTED_VALUE"""),"DEF")</f>
        <v>DEF</v>
      </c>
      <c r="H586" s="118">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7">
        <f>IFERROR(__xludf.DUMMYFUNCTION("""COMPUTED_VALUE"""),3.1125E8)</f>
        <v>311250000</v>
      </c>
      <c r="G587" s="16" t="str">
        <f>IFERROR(__xludf.DUMMYFUNCTION("""COMPUTED_VALUE"""),"DEF")</f>
        <v>DEF</v>
      </c>
      <c r="H587" s="118">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7">
        <f>IFERROR(__xludf.DUMMYFUNCTION("""COMPUTED_VALUE"""),3.1125E8)</f>
        <v>311250000</v>
      </c>
      <c r="G588" s="16" t="str">
        <f>IFERROR(__xludf.DUMMYFUNCTION("""COMPUTED_VALUE"""),"DEF")</f>
        <v>DEF</v>
      </c>
      <c r="H588" s="118">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7">
        <f>IFERROR(__xludf.DUMMYFUNCTION("""COMPUTED_VALUE"""),3.1125E8)</f>
        <v>311250000</v>
      </c>
      <c r="G589" s="16" t="str">
        <f>IFERROR(__xludf.DUMMYFUNCTION("""COMPUTED_VALUE"""),"DEF")</f>
        <v>DEF</v>
      </c>
      <c r="H589" s="118">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7">
        <f>IFERROR(__xludf.DUMMYFUNCTION("""COMPUTED_VALUE"""),3.1125E8)</f>
        <v>311250000</v>
      </c>
      <c r="G590" s="16" t="str">
        <f>IFERROR(__xludf.DUMMYFUNCTION("""COMPUTED_VALUE"""),"DEF")</f>
        <v>DEF</v>
      </c>
      <c r="H590" s="118">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7">
        <f>IFERROR(__xludf.DUMMYFUNCTION("""COMPUTED_VALUE"""),3.1125E8)</f>
        <v>311250000</v>
      </c>
      <c r="G591" s="16" t="str">
        <f>IFERROR(__xludf.DUMMYFUNCTION("""COMPUTED_VALUE"""),"DEF")</f>
        <v>DEF</v>
      </c>
      <c r="H591" s="118">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7">
        <f>IFERROR(__xludf.DUMMYFUNCTION("""COMPUTED_VALUE"""),3.1125E8)</f>
        <v>311250000</v>
      </c>
      <c r="G592" s="16" t="str">
        <f>IFERROR(__xludf.DUMMYFUNCTION("""COMPUTED_VALUE"""),"DEF")</f>
        <v>DEF</v>
      </c>
      <c r="H592" s="118">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7">
        <f>IFERROR(__xludf.DUMMYFUNCTION("""COMPUTED_VALUE"""),3.1125E8)</f>
        <v>311250000</v>
      </c>
      <c r="G593" s="16" t="str">
        <f>IFERROR(__xludf.DUMMYFUNCTION("""COMPUTED_VALUE"""),"DEF")</f>
        <v>DEF</v>
      </c>
      <c r="H593" s="118">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7">
        <f>IFERROR(__xludf.DUMMYFUNCTION("""COMPUTED_VALUE"""),3.1125E8)</f>
        <v>311250000</v>
      </c>
      <c r="G594" s="16" t="str">
        <f>IFERROR(__xludf.DUMMYFUNCTION("""COMPUTED_VALUE"""),"DEF")</f>
        <v>DEF</v>
      </c>
      <c r="H594" s="118">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7">
        <f>IFERROR(__xludf.DUMMYFUNCTION("""COMPUTED_VALUE"""),3.1125E8)</f>
        <v>311250000</v>
      </c>
      <c r="G595" s="16" t="str">
        <f>IFERROR(__xludf.DUMMYFUNCTION("""COMPUTED_VALUE"""),"DEF")</f>
        <v>DEF</v>
      </c>
      <c r="H595" s="118">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7">
        <f>IFERROR(__xludf.DUMMYFUNCTION("""COMPUTED_VALUE"""),3.1125E8)</f>
        <v>311250000</v>
      </c>
      <c r="G596" s="16" t="str">
        <f>IFERROR(__xludf.DUMMYFUNCTION("""COMPUTED_VALUE"""),"DEF")</f>
        <v>DEF</v>
      </c>
      <c r="H596" s="118">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7">
        <f>IFERROR(__xludf.DUMMYFUNCTION("""COMPUTED_VALUE"""),3.1125E8)</f>
        <v>311250000</v>
      </c>
      <c r="G597" s="16" t="str">
        <f>IFERROR(__xludf.DUMMYFUNCTION("""COMPUTED_VALUE"""),"DEF")</f>
        <v>DEF</v>
      </c>
      <c r="H597" s="118">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7">
        <f>IFERROR(__xludf.DUMMYFUNCTION("""COMPUTED_VALUE"""),3.1125E8)</f>
        <v>311250000</v>
      </c>
      <c r="G598" s="16" t="str">
        <f>IFERROR(__xludf.DUMMYFUNCTION("""COMPUTED_VALUE"""),"DEF")</f>
        <v>DEF</v>
      </c>
      <c r="H598" s="118">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7">
        <f>IFERROR(__xludf.DUMMYFUNCTION("""COMPUTED_VALUE"""),3.1125E8)</f>
        <v>311250000</v>
      </c>
      <c r="G599" s="16" t="str">
        <f>IFERROR(__xludf.DUMMYFUNCTION("""COMPUTED_VALUE"""),"DEF")</f>
        <v>DEF</v>
      </c>
      <c r="H599" s="118">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7">
        <f>IFERROR(__xludf.DUMMYFUNCTION("""COMPUTED_VALUE"""),3.1125E8)</f>
        <v>311250000</v>
      </c>
      <c r="G600" s="16" t="str">
        <f>IFERROR(__xludf.DUMMYFUNCTION("""COMPUTED_VALUE"""),"DEF")</f>
        <v>DEF</v>
      </c>
      <c r="H600" s="118">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7">
        <f>IFERROR(__xludf.DUMMYFUNCTION("""COMPUTED_VALUE"""),3.1125E8)</f>
        <v>311250000</v>
      </c>
      <c r="G601" s="16" t="str">
        <f>IFERROR(__xludf.DUMMYFUNCTION("""COMPUTED_VALUE"""),"DEF")</f>
        <v>DEF</v>
      </c>
      <c r="H601" s="118">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7">
        <f>IFERROR(__xludf.DUMMYFUNCTION("""COMPUTED_VALUE"""),3.1125E8)</f>
        <v>311250000</v>
      </c>
      <c r="G602" s="16" t="str">
        <f>IFERROR(__xludf.DUMMYFUNCTION("""COMPUTED_VALUE"""),"DEF")</f>
        <v>DEF</v>
      </c>
      <c r="H602" s="118">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7">
        <f>IFERROR(__xludf.DUMMYFUNCTION("""COMPUTED_VALUE"""),3.1125E8)</f>
        <v>311250000</v>
      </c>
      <c r="G603" s="16" t="str">
        <f>IFERROR(__xludf.DUMMYFUNCTION("""COMPUTED_VALUE"""),"DEF")</f>
        <v>DEF</v>
      </c>
      <c r="H603" s="118">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7">
        <f>IFERROR(__xludf.DUMMYFUNCTION("""COMPUTED_VALUE"""),3.1125E8)</f>
        <v>311250000</v>
      </c>
      <c r="G604" s="16" t="str">
        <f>IFERROR(__xludf.DUMMYFUNCTION("""COMPUTED_VALUE"""),"DEF")</f>
        <v>DEF</v>
      </c>
      <c r="H604" s="118">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7">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7">
        <f>IFERROR(__xludf.DUMMYFUNCTION("""COMPUTED_VALUE"""),7.194E9)</f>
        <v>7194000000</v>
      </c>
      <c r="G606" s="16" t="str">
        <f>IFERROR(__xludf.DUMMYFUNCTION("""COMPUTED_VALUE"""),"DEF")</f>
        <v>DEF</v>
      </c>
      <c r="H606" s="118">
        <f>IFERROR(__xludf.DUMMYFUNCTION("""COMPUTED_VALUE"""),200000.0)</f>
        <v>200000</v>
      </c>
      <c r="I606" s="16"/>
      <c r="J606" s="16"/>
      <c r="K606" s="16"/>
      <c r="L606" s="16"/>
      <c r="M606" s="16"/>
      <c r="N606" s="118">
        <f>IFERROR(__xludf.DUMMYFUNCTION("""COMPUTED_VALUE"""),100000.0)</f>
        <v>100000</v>
      </c>
      <c r="O606" s="16"/>
      <c r="P606" s="16"/>
      <c r="Q606" s="16"/>
      <c r="R606" s="16"/>
      <c r="S606" s="16"/>
      <c r="T606" s="16"/>
      <c r="U606" s="16"/>
      <c r="V606" s="16"/>
      <c r="W606" s="16"/>
      <c r="X606" s="16"/>
      <c r="Y606" s="16"/>
      <c r="Z606" s="16"/>
      <c r="AA606" s="16"/>
      <c r="AB606" s="118">
        <f>IFERROR(__xludf.DUMMYFUNCTION("""COMPUTED_VALUE"""),200000.0)</f>
        <v>200000</v>
      </c>
      <c r="AC606" s="118">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7">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7">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7">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7">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7">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7">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7">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7">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7">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7">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7">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7">
        <f>IFERROR(__xludf.DUMMYFUNCTION("""COMPUTED_VALUE"""),7.98E8)</f>
        <v>798000000</v>
      </c>
      <c r="G618" s="16" t="str">
        <f>IFERROR(__xludf.DUMMYFUNCTION("""COMPUTED_VALUE"""),"DEF")</f>
        <v>DEF</v>
      </c>
      <c r="H618" s="118">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7">
        <f>IFERROR(__xludf.DUMMYFUNCTION("""COMPUTED_VALUE"""),7.98E8)</f>
        <v>798000000</v>
      </c>
      <c r="G619" s="16" t="str">
        <f>IFERROR(__xludf.DUMMYFUNCTION("""COMPUTED_VALUE"""),"DEF")</f>
        <v>DEF</v>
      </c>
      <c r="H619" s="118">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7">
        <f>IFERROR(__xludf.DUMMYFUNCTION("""COMPUTED_VALUE"""),7.98E8)</f>
        <v>798000000</v>
      </c>
      <c r="G620" s="16" t="str">
        <f>IFERROR(__xludf.DUMMYFUNCTION("""COMPUTED_VALUE"""),"DEF")</f>
        <v>DEF</v>
      </c>
      <c r="H620" s="118">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7">
        <f>IFERROR(__xludf.DUMMYFUNCTION("""COMPUTED_VALUE"""),7.98E8)</f>
        <v>798000000</v>
      </c>
      <c r="G621" s="16" t="str">
        <f>IFERROR(__xludf.DUMMYFUNCTION("""COMPUTED_VALUE"""),"DEF")</f>
        <v>DEF</v>
      </c>
      <c r="H621" s="118">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7">
        <f>IFERROR(__xludf.DUMMYFUNCTION("""COMPUTED_VALUE"""),7.98E8)</f>
        <v>798000000</v>
      </c>
      <c r="G622" s="16" t="str">
        <f>IFERROR(__xludf.DUMMYFUNCTION("""COMPUTED_VALUE"""),"DEF")</f>
        <v>DEF</v>
      </c>
      <c r="H622" s="118">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7">
        <f>IFERROR(__xludf.DUMMYFUNCTION("""COMPUTED_VALUE"""),7.98E8)</f>
        <v>798000000</v>
      </c>
      <c r="G623" s="16" t="str">
        <f>IFERROR(__xludf.DUMMYFUNCTION("""COMPUTED_VALUE"""),"DEF")</f>
        <v>DEF</v>
      </c>
      <c r="H623" s="118">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7">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7">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7">
        <f>IFERROR(__xludf.DUMMYFUNCTION("""COMPUTED_VALUE"""),1.99E8)</f>
        <v>199000000</v>
      </c>
      <c r="G626" s="16" t="str">
        <f>IFERROR(__xludf.DUMMYFUNCTION("""COMPUTED_VALUE"""),"DEF")</f>
        <v>DEF</v>
      </c>
      <c r="H626" s="118">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8">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7">
        <f>IFERROR(__xludf.DUMMYFUNCTION("""COMPUTED_VALUE"""),1.99E8)</f>
        <v>199000000</v>
      </c>
      <c r="G627" s="16" t="str">
        <f>IFERROR(__xludf.DUMMYFUNCTION("""COMPUTED_VALUE"""),"DMG")</f>
        <v>DMG</v>
      </c>
      <c r="H627" s="118">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8">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7">
        <f>IFERROR(__xludf.DUMMYFUNCTION("""COMPUTED_VALUE"""),1900000.0)</f>
        <v>1900000</v>
      </c>
      <c r="G628" s="16" t="str">
        <f>IFERROR(__xludf.DUMMYFUNCTION("""COMPUTED_VALUE"""),"DMG")</f>
        <v>DMG</v>
      </c>
      <c r="H628" s="118">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7">
        <f>IFERROR(__xludf.DUMMYFUNCTION("""COMPUTED_VALUE"""),1900000.0)</f>
        <v>1900000</v>
      </c>
      <c r="G629" s="16" t="str">
        <f>IFERROR(__xludf.DUMMYFUNCTION("""COMPUTED_VALUE"""),"DMG")</f>
        <v>DMG</v>
      </c>
      <c r="H629" s="118">
        <f>IFERROR(__xludf.DUMMYFUNCTION("""COMPUTED_VALUE"""),5000.0)</f>
        <v>5000</v>
      </c>
      <c r="I629" s="16"/>
      <c r="J629" s="16"/>
      <c r="K629" s="16"/>
      <c r="L629" s="16"/>
      <c r="M629" s="16"/>
      <c r="N629" s="118">
        <f>IFERROR(__xludf.DUMMYFUNCTION("""COMPUTED_VALUE"""),2500.0)</f>
        <v>2500</v>
      </c>
      <c r="O629" s="16"/>
      <c r="P629" s="16"/>
      <c r="Q629" s="118">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7">
        <f>IFERROR(__xludf.DUMMYFUNCTION("""COMPUTED_VALUE"""),1900000.0)</f>
        <v>1900000</v>
      </c>
      <c r="G630" s="16" t="str">
        <f>IFERROR(__xludf.DUMMYFUNCTION("""COMPUTED_VALUE"""),"DMG")</f>
        <v>DMG</v>
      </c>
      <c r="H630" s="118">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7">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7">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7">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7">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7">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7">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7">
        <f>IFERROR(__xludf.DUMMYFUNCTION("""COMPUTED_VALUE"""),1900000.0)</f>
        <v>1900000</v>
      </c>
      <c r="G637" s="16" t="str">
        <f>IFERROR(__xludf.DUMMYFUNCTION("""COMPUTED_VALUE"""),"DMG")</f>
        <v>DMG</v>
      </c>
      <c r="H637" s="118">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7">
        <f>IFERROR(__xludf.DUMMYFUNCTION("""COMPUTED_VALUE"""),7.14E7)</f>
        <v>71400000</v>
      </c>
      <c r="G638" s="16" t="str">
        <f>IFERROR(__xludf.DUMMYFUNCTION("""COMPUTED_VALUE"""),"DMG")</f>
        <v>DMG</v>
      </c>
      <c r="H638" s="118">
        <f>IFERROR(__xludf.DUMMYFUNCTION("""COMPUTED_VALUE"""),50000.0)</f>
        <v>50000</v>
      </c>
      <c r="I638" s="16"/>
      <c r="J638" s="16"/>
      <c r="K638" s="16"/>
      <c r="L638" s="16"/>
      <c r="M638" s="16"/>
      <c r="N638" s="16"/>
      <c r="O638" s="16"/>
      <c r="P638" s="16"/>
      <c r="Q638" s="16"/>
      <c r="R638" s="16"/>
      <c r="S638" s="16"/>
      <c r="T638" s="16"/>
      <c r="U638" s="16"/>
      <c r="V638" s="16"/>
      <c r="W638" s="16"/>
      <c r="X638" s="16"/>
      <c r="Y638" s="118">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7">
        <f>IFERROR(__xludf.DUMMYFUNCTION("""COMPUTED_VALUE"""),1.225E7)</f>
        <v>12250000</v>
      </c>
      <c r="G639" s="16" t="str">
        <f>IFERROR(__xludf.DUMMYFUNCTION("""COMPUTED_VALUE"""),"DMG")</f>
        <v>DMG</v>
      </c>
      <c r="H639" s="118">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7">
        <f>IFERROR(__xludf.DUMMYFUNCTION("""COMPUTED_VALUE"""),7800000.0)</f>
        <v>7800000</v>
      </c>
      <c r="G640" s="16" t="str">
        <f>IFERROR(__xludf.DUMMYFUNCTION("""COMPUTED_VALUE"""),"DEF")</f>
        <v>DEF</v>
      </c>
      <c r="H640" s="118">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7">
        <f>IFERROR(__xludf.DUMMYFUNCTION("""COMPUTED_VALUE"""),1.99E8)</f>
        <v>199000000</v>
      </c>
      <c r="G641" s="16" t="str">
        <f>IFERROR(__xludf.DUMMYFUNCTION("""COMPUTED_VALUE"""),"DMG")</f>
        <v>DMG</v>
      </c>
      <c r="H641" s="16"/>
      <c r="I641" s="16"/>
      <c r="J641" s="16"/>
      <c r="K641" s="16"/>
      <c r="L641" s="16"/>
      <c r="M641" s="16"/>
      <c r="N641" s="16"/>
      <c r="O641" s="16"/>
      <c r="P641" s="118">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7">
        <f>IFERROR(__xludf.DUMMYFUNCTION("""COMPUTED_VALUE"""),1.99E8)</f>
        <v>199000000</v>
      </c>
      <c r="G642" s="16" t="str">
        <f>IFERROR(__xludf.DUMMYFUNCTION("""COMPUTED_VALUE"""),"DMG")</f>
        <v>DMG</v>
      </c>
      <c r="H642" s="16"/>
      <c r="I642" s="118">
        <f>IFERROR(__xludf.DUMMYFUNCTION("""COMPUTED_VALUE"""),20000.0)</f>
        <v>20000</v>
      </c>
      <c r="J642" s="118">
        <f>IFERROR(__xludf.DUMMYFUNCTION("""COMPUTED_VALUE"""),20000.0)</f>
        <v>20000</v>
      </c>
      <c r="K642" s="118">
        <f>IFERROR(__xludf.DUMMYFUNCTION("""COMPUTED_VALUE"""),20000.0)</f>
        <v>20000</v>
      </c>
      <c r="L642" s="118">
        <f>IFERROR(__xludf.DUMMYFUNCTION("""COMPUTED_VALUE"""),20000.0)</f>
        <v>20000</v>
      </c>
      <c r="M642" s="118">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7">
        <f>IFERROR(__xludf.DUMMYFUNCTION("""COMPUTED_VALUE"""),4.95E7)</f>
        <v>49500000</v>
      </c>
      <c r="G643" s="16" t="str">
        <f>IFERROR(__xludf.DUMMYFUNCTION("""COMPUTED_VALUE"""),"DMG")</f>
        <v>DMG</v>
      </c>
      <c r="H643" s="16"/>
      <c r="I643" s="16"/>
      <c r="J643" s="16"/>
      <c r="K643" s="118">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7">
        <f>IFERROR(__xludf.DUMMYFUNCTION("""COMPUTED_VALUE"""),3.16E7)</f>
        <v>31600000</v>
      </c>
      <c r="G644" s="16" t="str">
        <f>IFERROR(__xludf.DUMMYFUNCTION("""COMPUTED_VALUE"""),"DEF")</f>
        <v>DEF</v>
      </c>
      <c r="H644" s="118">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7">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8">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7">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7">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7">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7">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7">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7">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7">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7">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7">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7">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7">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7">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7">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7">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7">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7">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7">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7">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7">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7">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7">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7">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7">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7">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7">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7">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7">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7">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7">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7">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7">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7">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7">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7">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7">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7">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7">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7">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7">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7">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7">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7">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7">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7">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7">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7">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7">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7">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7">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7">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7">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7">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7">
        <f>IFERROR(__xludf.DUMMYFUNCTION("""COMPUTED_VALUE"""),4.485E8)</f>
        <v>448500000</v>
      </c>
      <c r="G698" s="16" t="str">
        <f>IFERROR(__xludf.DUMMYFUNCTION("""COMPUTED_VALUE"""),"DMG")</f>
        <v>DMG</v>
      </c>
      <c r="H698" s="16"/>
      <c r="I698" s="16"/>
      <c r="J698" s="16"/>
      <c r="K698" s="118">
        <f>IFERROR(__xludf.DUMMYFUNCTION("""COMPUTED_VALUE"""),50000.0)</f>
        <v>50000</v>
      </c>
      <c r="L698" s="118">
        <f>IFERROR(__xludf.DUMMYFUNCTION("""COMPUTED_VALUE"""),50000.0)</f>
        <v>50000</v>
      </c>
      <c r="M698" s="16"/>
      <c r="N698" s="16"/>
      <c r="O698" s="16"/>
      <c r="P698" s="16"/>
      <c r="Q698" s="16"/>
      <c r="R698" s="16"/>
      <c r="S698" s="16"/>
      <c r="T698" s="16"/>
      <c r="U698" s="16"/>
      <c r="V698" s="16"/>
      <c r="W698" s="16"/>
      <c r="X698" s="16"/>
      <c r="Y698" s="16"/>
      <c r="Z698" s="16"/>
      <c r="AA698" s="16"/>
      <c r="AB698" s="16"/>
      <c r="AC698" s="118">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7">
        <f>IFERROR(__xludf.DUMMYFUNCTION("""COMPUTED_VALUE"""),1900000.0)</f>
        <v>1900000</v>
      </c>
      <c r="G699" s="16" t="str">
        <f>IFERROR(__xludf.DUMMYFUNCTION("""COMPUTED_VALUE"""),"DMG")</f>
        <v>DMG</v>
      </c>
      <c r="H699" s="16"/>
      <c r="I699" s="16"/>
      <c r="J699" s="16"/>
      <c r="K699" s="118">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7">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7">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7">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7">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7">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7">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7">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7">
        <f>IFERROR(__xludf.DUMMYFUNCTION("""COMPUTED_VALUE"""),4.95E7)</f>
        <v>49500000</v>
      </c>
      <c r="G707" s="16" t="str">
        <f>IFERROR(__xludf.DUMMYFUNCTION("""COMPUTED_VALUE"""),"DMG")</f>
        <v>DMG</v>
      </c>
      <c r="H707" s="118">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7">
        <f>IFERROR(__xludf.DUMMYFUNCTION("""COMPUTED_VALUE"""),4.95E7)</f>
        <v>49500000</v>
      </c>
      <c r="G708" s="16" t="str">
        <f>IFERROR(__xludf.DUMMYFUNCTION("""COMPUTED_VALUE"""),"DMG")</f>
        <v>DMG</v>
      </c>
      <c r="H708" s="118">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7">
        <f>IFERROR(__xludf.DUMMYFUNCTION("""COMPUTED_VALUE"""),7.14E7)</f>
        <v>71400000</v>
      </c>
      <c r="G709" s="16" t="str">
        <f>IFERROR(__xludf.DUMMYFUNCTION("""COMPUTED_VALUE"""),"DMG")</f>
        <v>DMG</v>
      </c>
      <c r="H709" s="118">
        <f>IFERROR(__xludf.DUMMYFUNCTION("""COMPUTED_VALUE"""),50000.0)</f>
        <v>50000</v>
      </c>
      <c r="I709" s="16"/>
      <c r="J709" s="16"/>
      <c r="K709" s="16"/>
      <c r="L709" s="118">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7">
        <f>IFERROR(__xludf.DUMMYFUNCTION("""COMPUTED_VALUE"""),4.95E7)</f>
        <v>49500000</v>
      </c>
      <c r="G710" s="118" t="str">
        <f>IFERROR(__xludf.DUMMYFUNCTION("""COMPUTED_VALUE"""),"DMG")</f>
        <v>DMG</v>
      </c>
      <c r="H710" s="118">
        <f>IFERROR(__xludf.DUMMYFUNCTION("""COMPUTED_VALUE"""),30000.0)</f>
        <v>30000</v>
      </c>
      <c r="I710" s="118">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7">
        <f>IFERROR(__xludf.DUMMYFUNCTION("""COMPUTED_VALUE"""),7800000.0)</f>
        <v>7800000</v>
      </c>
      <c r="G711" s="16" t="str">
        <f>IFERROR(__xludf.DUMMYFUNCTION("""COMPUTED_VALUE"""),"DMG")</f>
        <v>DMG</v>
      </c>
      <c r="H711" s="118">
        <f>IFERROR(__xludf.DUMMYFUNCTION("""COMPUTED_VALUE"""),10000.0)</f>
        <v>10000</v>
      </c>
      <c r="I711" s="16"/>
      <c r="J711" s="16"/>
      <c r="K711" s="16"/>
      <c r="L711" s="16"/>
      <c r="M711" s="16"/>
      <c r="N711" s="16"/>
      <c r="O711" s="16"/>
      <c r="P711" s="16"/>
      <c r="Q711" s="16"/>
      <c r="R711" s="16"/>
      <c r="S711" s="16"/>
      <c r="T711" s="16"/>
      <c r="U711" s="16"/>
      <c r="V711" s="16"/>
      <c r="W711" s="16"/>
      <c r="X711" s="16"/>
      <c r="Y711" s="118">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7">
        <f>IFERROR(__xludf.DUMMYFUNCTION("""COMPUTED_VALUE"""),4.95E7)</f>
        <v>49500000</v>
      </c>
      <c r="G712" s="16" t="str">
        <f>IFERROR(__xludf.DUMMYFUNCTION("""COMPUTED_VALUE"""),"DMG")</f>
        <v>DMG</v>
      </c>
      <c r="H712" s="118">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7">
        <f>IFERROR(__xludf.DUMMYFUNCTION("""COMPUTED_VALUE"""),3.16E7)</f>
        <v>31600000</v>
      </c>
      <c r="G713" s="16" t="str">
        <f>IFERROR(__xludf.DUMMYFUNCTION("""COMPUTED_VALUE"""),"DMG")</f>
        <v>DMG</v>
      </c>
      <c r="H713" s="118">
        <f>IFERROR(__xludf.DUMMYFUNCTION("""COMPUTED_VALUE"""),20000.0)</f>
        <v>20000</v>
      </c>
      <c r="I713" s="16"/>
      <c r="J713" s="16"/>
      <c r="K713" s="16"/>
      <c r="L713" s="16"/>
      <c r="M713" s="16"/>
      <c r="N713" s="16"/>
      <c r="O713" s="16"/>
      <c r="P713" s="16"/>
      <c r="Q713" s="16"/>
      <c r="R713" s="16"/>
      <c r="S713" s="16"/>
      <c r="T713" s="16"/>
      <c r="U713" s="16"/>
      <c r="V713" s="16"/>
      <c r="W713" s="16"/>
      <c r="X713" s="16"/>
      <c r="Y713" s="118">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7">
        <f>IFERROR(__xludf.DUMMYFUNCTION("""COMPUTED_VALUE"""),7800000.0)</f>
        <v>7800000</v>
      </c>
      <c r="G714" s="16" t="str">
        <f>IFERROR(__xludf.DUMMYFUNCTION("""COMPUTED_VALUE"""),"DMG")</f>
        <v>DMG</v>
      </c>
      <c r="H714" s="118">
        <f>IFERROR(__xludf.DUMMYFUNCTION("""COMPUTED_VALUE"""),10000.0)</f>
        <v>10000</v>
      </c>
      <c r="I714" s="16"/>
      <c r="J714" s="16"/>
      <c r="K714" s="16"/>
      <c r="L714" s="16"/>
      <c r="M714" s="16"/>
      <c r="N714" s="16"/>
      <c r="O714" s="16"/>
      <c r="P714" s="16"/>
      <c r="Q714" s="16"/>
      <c r="R714" s="16"/>
      <c r="S714" s="16"/>
      <c r="T714" s="16"/>
      <c r="U714" s="16"/>
      <c r="V714" s="16"/>
      <c r="W714" s="16"/>
      <c r="X714" s="16"/>
      <c r="Y714" s="118">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7">
        <f>IFERROR(__xludf.DUMMYFUNCTION("""COMPUTED_VALUE"""),1.99E8)</f>
        <v>199000000</v>
      </c>
      <c r="G715" s="16" t="str">
        <f>IFERROR(__xludf.DUMMYFUNCTION("""COMPUTED_VALUE"""),"DMG")</f>
        <v>DMG</v>
      </c>
      <c r="H715" s="16"/>
      <c r="I715" s="16"/>
      <c r="J715" s="16"/>
      <c r="K715" s="16"/>
      <c r="L715" s="16"/>
      <c r="M715" s="16"/>
      <c r="N715" s="16"/>
      <c r="O715" s="16"/>
      <c r="P715" s="16"/>
      <c r="Q715" s="16"/>
      <c r="R715" s="16"/>
      <c r="S715" s="118">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7">
        <f>IFERROR(__xludf.DUMMYFUNCTION("""COMPUTED_VALUE"""),1.99E8)</f>
        <v>199000000</v>
      </c>
      <c r="G716" s="16"/>
      <c r="H716" s="16"/>
      <c r="I716" s="16"/>
      <c r="J716" s="16"/>
      <c r="K716" s="16"/>
      <c r="L716" s="16"/>
      <c r="M716" s="16"/>
      <c r="N716" s="16"/>
      <c r="O716" s="16"/>
      <c r="P716" s="16"/>
      <c r="Q716" s="16"/>
      <c r="R716" s="16"/>
      <c r="S716" s="118">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7">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7">
        <f>IFERROR(__xludf.DUMMYFUNCTION("""COMPUTED_VALUE"""),1.2475E9)</f>
        <v>1247500000</v>
      </c>
      <c r="G718" s="16" t="str">
        <f>IFERROR(__xludf.DUMMYFUNCTION("""COMPUTED_VALUE"""),"DEF")</f>
        <v>DEF</v>
      </c>
      <c r="H718" s="118">
        <f>IFERROR(__xludf.DUMMYFUNCTION("""COMPUTED_VALUE"""),50000.0)</f>
        <v>50000</v>
      </c>
      <c r="I718" s="118">
        <f>IFERROR(__xludf.DUMMYFUNCTION("""COMPUTED_VALUE"""),50000.0)</f>
        <v>50000</v>
      </c>
      <c r="J718" s="16"/>
      <c r="K718" s="16"/>
      <c r="L718" s="118">
        <f>IFERROR(__xludf.DUMMYFUNCTION("""COMPUTED_VALUE"""),50000.0)</f>
        <v>50000</v>
      </c>
      <c r="M718" s="118">
        <f>IFERROR(__xludf.DUMMYFUNCTION("""COMPUTED_VALUE"""),50000.0)</f>
        <v>50000</v>
      </c>
      <c r="N718" s="16"/>
      <c r="O718" s="16"/>
      <c r="P718" s="16"/>
      <c r="Q718" s="16"/>
      <c r="R718" s="16"/>
      <c r="S718" s="16"/>
      <c r="T718" s="16"/>
      <c r="U718" s="16"/>
      <c r="V718" s="16"/>
      <c r="W718" s="16"/>
      <c r="X718" s="16"/>
      <c r="Y718" s="16"/>
      <c r="Z718" s="16"/>
      <c r="AA718" s="16"/>
      <c r="AB718" s="16"/>
      <c r="AC718" s="118">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7">
        <f>IFERROR(__xludf.DUMMYFUNCTION("""COMPUTED_VALUE"""),1.797E9)</f>
        <v>1797000000</v>
      </c>
      <c r="G719" s="16" t="str">
        <f>IFERROR(__xludf.DUMMYFUNCTION("""COMPUTED_VALUE"""),"DMG")</f>
        <v>DMG</v>
      </c>
      <c r="H719" s="118">
        <f>IFERROR(__xludf.DUMMYFUNCTION("""COMPUTED_VALUE"""),75000.0)</f>
        <v>75000</v>
      </c>
      <c r="I719" s="118">
        <f>IFERROR(__xludf.DUMMYFUNCTION("""COMPUTED_VALUE"""),75000.0)</f>
        <v>75000</v>
      </c>
      <c r="J719" s="16"/>
      <c r="K719" s="16"/>
      <c r="L719" s="16"/>
      <c r="M719" s="118">
        <f>IFERROR(__xludf.DUMMYFUNCTION("""COMPUTED_VALUE"""),75000.0)</f>
        <v>75000</v>
      </c>
      <c r="N719" s="16"/>
      <c r="O719" s="16"/>
      <c r="P719" s="16"/>
      <c r="Q719" s="16"/>
      <c r="R719" s="16"/>
      <c r="S719" s="16"/>
      <c r="T719" s="16"/>
      <c r="U719" s="16"/>
      <c r="V719" s="16"/>
      <c r="W719" s="16"/>
      <c r="X719" s="16"/>
      <c r="Y719" s="16"/>
      <c r="Z719" s="16"/>
      <c r="AA719" s="16"/>
      <c r="AB719" s="16"/>
      <c r="AC719" s="118">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7">
        <f>IFERROR(__xludf.DUMMYFUNCTION("""COMPUTED_VALUE"""),7.98E8)</f>
        <v>798000000</v>
      </c>
      <c r="G720" s="16" t="str">
        <f>IFERROR(__xludf.DUMMYFUNCTION("""COMPUTED_VALUE"""),"DMG")</f>
        <v>DMG</v>
      </c>
      <c r="H720" s="118">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8">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7">
        <f>IFERROR(__xludf.DUMMYFUNCTION("""COMPUTED_VALUE"""),1.1175E8)</f>
        <v>111750000</v>
      </c>
      <c r="G721" s="16" t="str">
        <f>IFERROR(__xludf.DUMMYFUNCTION("""COMPUTED_VALUE"""),"DEF")</f>
        <v>DEF</v>
      </c>
      <c r="H721" s="118">
        <f>IFERROR(__xludf.DUMMYFUNCTION("""COMPUTED_VALUE"""),25000.0)</f>
        <v>25000</v>
      </c>
      <c r="I721" s="118">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8">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7">
        <f>IFERROR(__xludf.DUMMYFUNCTION("""COMPUTED_VALUE"""),1.1175E8)</f>
        <v>111750000</v>
      </c>
      <c r="G722" s="16" t="str">
        <f>IFERROR(__xludf.DUMMYFUNCTION("""COMPUTED_VALUE"""),"DEF")</f>
        <v>DEF</v>
      </c>
      <c r="H722" s="118">
        <f>IFERROR(__xludf.DUMMYFUNCTION("""COMPUTED_VALUE"""),25000.0)</f>
        <v>25000</v>
      </c>
      <c r="I722" s="118">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8">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7">
        <f>IFERROR(__xludf.DUMMYFUNCTION("""COMPUTED_VALUE"""),1.1175E8)</f>
        <v>111750000</v>
      </c>
      <c r="G723" s="16" t="str">
        <f>IFERROR(__xludf.DUMMYFUNCTION("""COMPUTED_VALUE"""),"DEF")</f>
        <v>DEF</v>
      </c>
      <c r="H723" s="118">
        <f>IFERROR(__xludf.DUMMYFUNCTION("""COMPUTED_VALUE"""),25000.0)</f>
        <v>25000</v>
      </c>
      <c r="I723" s="118">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8">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7">
        <f>IFERROR(__xludf.DUMMYFUNCTION("""COMPUTED_VALUE"""),1.1175E8)</f>
        <v>111750000</v>
      </c>
      <c r="G724" s="16" t="str">
        <f>IFERROR(__xludf.DUMMYFUNCTION("""COMPUTED_VALUE"""),"DEF")</f>
        <v>DEF</v>
      </c>
      <c r="H724" s="118">
        <f>IFERROR(__xludf.DUMMYFUNCTION("""COMPUTED_VALUE"""),25000.0)</f>
        <v>25000</v>
      </c>
      <c r="I724" s="118">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8">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7">
        <f>IFERROR(__xludf.DUMMYFUNCTION("""COMPUTED_VALUE"""),1.1175E8)</f>
        <v>111750000</v>
      </c>
      <c r="G725" s="16" t="str">
        <f>IFERROR(__xludf.DUMMYFUNCTION("""COMPUTED_VALUE"""),"DEF")</f>
        <v>DEF</v>
      </c>
      <c r="H725" s="118">
        <f>IFERROR(__xludf.DUMMYFUNCTION("""COMPUTED_VALUE"""),25000.0)</f>
        <v>25000</v>
      </c>
      <c r="I725" s="118">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8">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7">
        <f>IFERROR(__xludf.DUMMYFUNCTION("""COMPUTED_VALUE"""),1.1175E8)</f>
        <v>111750000</v>
      </c>
      <c r="G726" s="16" t="str">
        <f>IFERROR(__xludf.DUMMYFUNCTION("""COMPUTED_VALUE"""),"DEF")</f>
        <v>DEF</v>
      </c>
      <c r="H726" s="118">
        <f>IFERROR(__xludf.DUMMYFUNCTION("""COMPUTED_VALUE"""),25000.0)</f>
        <v>25000</v>
      </c>
      <c r="I726" s="118">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8">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7">
        <f>IFERROR(__xludf.DUMMYFUNCTION("""COMPUTED_VALUE"""),1.77E7)</f>
        <v>17700000</v>
      </c>
      <c r="G727" s="16" t="str">
        <f>IFERROR(__xludf.DUMMYFUNCTION("""COMPUTED_VALUE"""),"DMG")</f>
        <v>DMG</v>
      </c>
      <c r="H727" s="118">
        <f>IFERROR(__xludf.DUMMYFUNCTION("""COMPUTED_VALUE"""),20000.0)</f>
        <v>20000</v>
      </c>
      <c r="I727" s="16"/>
      <c r="J727" s="16"/>
      <c r="K727" s="16"/>
      <c r="L727" s="16"/>
      <c r="M727" s="16"/>
      <c r="N727" s="118">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7">
        <f>IFERROR(__xludf.DUMMYFUNCTION("""COMPUTED_VALUE"""),1.77E7)</f>
        <v>17700000</v>
      </c>
      <c r="G728" s="16" t="str">
        <f>IFERROR(__xludf.DUMMYFUNCTION("""COMPUTED_VALUE"""),"DEF")</f>
        <v>DEF</v>
      </c>
      <c r="H728" s="118">
        <f>IFERROR(__xludf.DUMMYFUNCTION("""COMPUTED_VALUE"""),20000.0)</f>
        <v>20000</v>
      </c>
      <c r="I728" s="16"/>
      <c r="J728" s="16"/>
      <c r="K728" s="16"/>
      <c r="L728" s="16"/>
      <c r="M728" s="16"/>
      <c r="N728" s="118">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7">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7">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7">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7">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7">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7">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7">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7">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7">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7">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7">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7">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7">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7">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7">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7">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7">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7">
        <f>IFERROR(__xludf.DUMMYFUNCTION("""COMPUTED_VALUE"""),4.656E7)</f>
        <v>46560000</v>
      </c>
      <c r="G746" s="16" t="str">
        <f>IFERROR(__xludf.DUMMYFUNCTION("""COMPUTED_VALUE"""),"DEF")</f>
        <v>DEF</v>
      </c>
      <c r="H746" s="118">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7">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7">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7">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7">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7">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7">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7">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7">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7">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7">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7">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7">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7">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7">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7">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7">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7">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7">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7">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7">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7">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7">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7">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7">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7">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7">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7">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7">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7">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7">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7">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7">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7">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7">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7">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7">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7">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7">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7">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7">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7">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7">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7">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7">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7">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7">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7">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7">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7">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7">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7">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7">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7">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7">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7">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7">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7">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7">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7">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7">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7">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7">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7">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7">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7">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7">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7">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7">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7">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7">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7">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7">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7">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7">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7">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7">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7">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7">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7">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7">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7">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7">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7">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7">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7">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7">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7">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7">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7">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7">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7">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7">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7">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7">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7">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7">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7">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7">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7">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7">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7">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7">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7">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7">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7">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7">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7">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7">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7">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7">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7">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7">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7">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7">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7">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7">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7">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7">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7">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7">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7">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7">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7">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7">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7">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7">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7">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7">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7">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7">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7">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7">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7">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7">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7">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7">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7">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7">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7">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7">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7">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7">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7">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7">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7">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7">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7">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7">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7">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7">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7">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7">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7">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7">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7">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7">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7">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7">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7">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7">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7">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7">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7">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7">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7">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7">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7">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7">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7">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7">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7">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7">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7">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7">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7">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7">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7">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7">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7">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7">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7">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7">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7">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7">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7">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7">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7">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7">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7">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7">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7">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7">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7">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7">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7">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7">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7">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7">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7">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7">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7">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7">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7">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7">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7">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7">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7">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7">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7">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7">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7">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7">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7">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7">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7">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7">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7">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7">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7">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7">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7">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7">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7">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7">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7">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7">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7">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7">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7">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7">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7">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7">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7">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7">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7">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7">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7">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7">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7">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7">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7">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7">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7">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7">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7">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7">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7">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7">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7">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7">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7">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7">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7">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7">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7">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7">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7">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7">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7">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7">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7">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7">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7">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7">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7">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7">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7">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7">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7">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7">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7">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7">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7">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7">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7">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7">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7">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7">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7">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7">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7">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7">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7">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7">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7">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7">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7">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7">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7">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7">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7">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7">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7">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7">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7">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7">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7">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7">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7">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7">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7">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7">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7">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7">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7">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7">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7">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7">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7">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7">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7">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7">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7">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7">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7">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7">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7">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7">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7">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7">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7">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7">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7">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7">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7">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7">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7">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7">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7">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7">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7">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7">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7">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7">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7">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7">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7">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7">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7">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7">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7">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7">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7">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7">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7">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7">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7">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7">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7">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7">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7">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7">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7">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7">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7">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7">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7">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7">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7">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7">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7">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7">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7">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7">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7">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7">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7">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7">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7">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7">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7">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7">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7">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7">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7">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7">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7">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7">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7">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7">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7">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7">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7">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7">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7">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7">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7">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7">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7">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7">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7">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7">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7">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7">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7">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7">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7">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7">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7">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7">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7">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7">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7">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7">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7">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7">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7">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7">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7">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7">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7">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7">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7">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7">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7">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7">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7">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7">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7">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7">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7">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7">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7">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7">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7">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7">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7">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7">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7">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7">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7">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7">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7">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7">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7">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7">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7">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7">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7">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7">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7">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7">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7">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7">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7">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7">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7">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7">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7">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7">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7">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7">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7">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7">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7">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7">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7">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7">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7">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7">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7">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7">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7">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7">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7">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7">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7">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7">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7">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7">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7">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7">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7">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7">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7">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7">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7">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7">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7">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7">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7">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7">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7">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7">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7">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7">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7">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7">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7">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7">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7">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7">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7">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7">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7">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7">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7">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7">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7">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7">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7">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7">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7">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7">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7">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7">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7">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7">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7">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7">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7">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7">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7">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7">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7">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7">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7">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7">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7">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7">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7">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7">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7">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7">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7">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7">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7">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7">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7">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7">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7">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7">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7">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7">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7">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7">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7">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7">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7">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7">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7">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7">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7">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7">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7">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7">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7">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7">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7">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7">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7">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7">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7">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7">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7">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7">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7">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7">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7">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7">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7">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7">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7">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7">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7">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7">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7">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7">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7">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7">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7">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7">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7">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7">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7">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7">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7">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7">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7">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7">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7">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7">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7">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7">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7">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7">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7">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7">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7">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7">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7">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7">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7">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7">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7">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7">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7">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7">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7">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7">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7">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7">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7">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7">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7">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7">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7">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7">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7">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7">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7">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7">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7">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7">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7">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7">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7">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7">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7">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7">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7">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7">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7">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7">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7">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7">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7">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7">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7">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7">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7">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7">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7">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7">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7">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7">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7">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7">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7">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7">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7">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7">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7">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7">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7">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7">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7">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7">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7">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7">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7">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7">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7">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7">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7">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7">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7">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7">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7">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7">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7">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7">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7">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7">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7">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7">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7">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7">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7">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7">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7">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7">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7">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7">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7">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7">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7">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7">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7">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7">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7">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7">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7">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7">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7">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7">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7">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7">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7">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7">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7">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7">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7">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7">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7">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7">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7">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7">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7">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7">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7">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7">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7">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7">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7">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7">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7">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7">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7">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7">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7">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7">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7">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7">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7">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7">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7">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7">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7">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7">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7">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7">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7">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7">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7">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7">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7">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7">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7">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7">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7">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7">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7">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7">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7">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7">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7">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7">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7">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7">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7">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7">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7">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7">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7">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7">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7">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7">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7">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7">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7">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7">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7">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7">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7">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7">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7">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7">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7">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7">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7">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7">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7">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7">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7">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7">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7">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7">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7">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7">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7">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7">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7">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7">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7">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7">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7">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7">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7">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7">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7">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7">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7">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7">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7">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7">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7">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7">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7">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7">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7">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7">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7">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7">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7">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7">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7">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7">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7">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7">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7">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7">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7">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7">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7">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7">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7">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7">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7">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7">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7">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7">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7">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7">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7">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7">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7">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7">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7">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7">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7">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7">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7">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7">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7">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7">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7">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7">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7">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7">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7">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7">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7">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7">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7">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7">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7">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7">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7">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7">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7">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7">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7">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7">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7">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7">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7">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7">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7">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7">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7">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7">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7">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7">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7">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7">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7">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7">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7">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7">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7">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7">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7">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7">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7">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7">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7">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7">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7">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7">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7">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7">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7">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7">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7">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7">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7">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7">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7">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7">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7">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7">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7">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7">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7">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7">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7">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7">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7">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7">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7">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7">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7">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7">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7">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7">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7">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7">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7">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7">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7">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7">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7">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7">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7">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7">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7">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7">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7">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7">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7">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7">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7">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7">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7">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7">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7">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7">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7">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7">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7">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7">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7">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7">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7">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7">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7">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7">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7">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7">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7">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7">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7">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7">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7">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7">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7">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7">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7">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7">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7">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7">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7">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7">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7">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7">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7">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7">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7">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7">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7">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7">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7">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7">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7">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7">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7">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7">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7">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7">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7">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7">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7">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7">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7">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7">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7">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7">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7">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7">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7">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7">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7">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7">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7">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7">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7">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7">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7">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7">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7">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7">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7">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7">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7">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7">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7">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7">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7">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7">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7">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7">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7">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7">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7">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7">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7">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7">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7">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7">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7">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7">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7">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7">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7">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7">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7">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7">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7">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7">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7">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7">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7">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7">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7">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7">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7">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7">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7">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7">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7">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7">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7">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7">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7">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7">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7">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7">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7">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7">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7">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7">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7">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7">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7">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7">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7">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7">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7">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7">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7">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7">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7">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7">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7">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7">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224</v>
      </c>
      <c r="E1" s="97" t="s">
        <v>225</v>
      </c>
      <c r="F1" s="97" t="s">
        <v>27</v>
      </c>
      <c r="G1" s="97" t="s">
        <v>226</v>
      </c>
    </row>
    <row r="2">
      <c r="A2" s="121"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