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<sst xmlns="http://schemas.openxmlformats.org/spreadsheetml/2006/main" count="404" uniqueCount="278">
  <si>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</si>
  <si>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</si>
  <si>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</si>
  <si>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</si>
  <si>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</si>
  <si>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</si>
  <si>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</si>
  <si>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</si>
  <si>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</si>
  <si>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</si>
  <si>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</si>
  <si>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</si>
  <si>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</si>
  <si>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</si>
  <si>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</si>
  <si>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</si>
  <si>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</si>
  <si>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</si>
  <si>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</si>
  <si>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</si>
  <si>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</si>
  <si>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</si>
  <si>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</si>
  <si>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</si>
  <si>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</si>
  <si>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</si>
  <si>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</si>
  <si>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</si>
  <si>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</si>
  <si>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Cap of Metal Harmony's</t>
  </si>
  <si>
    <t>Head</t>
  </si>
  <si>
    <t>📿 (1) Neck:</t>
  </si>
  <si>
    <t>Neck</t>
  </si>
  <si>
    <t>📿 (2) Neck:</t>
  </si>
  <si>
    <t>📿 (3) Neck:</t>
  </si>
  <si>
    <t>🎒(1) Shoulders</t>
  </si>
  <si>
    <t>Shoulders</t>
  </si>
  <si>
    <t>🧥 (1) Torso:</t>
  </si>
  <si>
    <t>"Hellfire Club" Vest of Metal Harmony's</t>
  </si>
  <si>
    <t>Torso</t>
  </si>
  <si>
    <t>💪(1) Arms</t>
  </si>
  <si>
    <t>Arms</t>
  </si>
  <si>
    <t>🖐 (1) L. Hand:</t>
  </si>
  <si>
    <t>"Sweetheart" Guitar of The Upside Down</t>
  </si>
  <si>
    <t>Hand</t>
  </si>
  <si>
    <t>🖐 (1) R. Hand:</t>
  </si>
  <si>
    <t>💍 (1) Fingers:</t>
  </si>
  <si>
    <t>Ring</t>
  </si>
  <si>
    <t>💍 (2) Fingers:</t>
  </si>
  <si>
    <t>💍 (3) Fingers:</t>
  </si>
  <si>
    <t>💍 (4) Fingers:</t>
  </si>
  <si>
    <t>💍 (5) Fingers:</t>
  </si>
  <si>
    <t>💍 (6) Fingers:</t>
  </si>
  <si>
    <t>💍 (7) Fingers:</t>
  </si>
  <si>
    <t>💍 (8) Fingers:</t>
  </si>
  <si>
    <t>💍 (9) Fingers:</t>
  </si>
  <si>
    <t>💍 (10) Fingers:</t>
  </si>
  <si>
    <t>👖 (1) Legs:</t>
  </si>
  <si>
    <t>Legs</t>
  </si>
  <si>
    <t>🥾 (1) Feet:</t>
  </si>
  <si>
    <t>Shoes of Metal Harmony's</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</si>
  <si>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</si>
  <si>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</si>
  <si>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</si>
  <si>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</si>
  <si>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</si>
  <si>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</si>
  <si>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</si>
  <si>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</si>
  <si>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</si>
  <si>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</si>
  <si>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</si>
  <si>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</si>
  <si>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</si>
  <si>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</si>
  <si>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</si>
  <si>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</si>
  <si>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</si>
  <si>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</si>
  <si>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</si>
  <si>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</si>
  <si>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</si>
  <si>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</si>
  <si>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</si>
  <si>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</si>
  <si>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</si>
  <si>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</si>
  <si>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</si>
  <si>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</si>
  <si>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Pure Elf</t>
  </si>
  <si>
    <t>Half Class</t>
  </si>
  <si>
    <t>Class:</t>
  </si>
  <si>
    <t>Bard</t>
  </si>
  <si>
    <t>Half Race:</t>
  </si>
  <si>
    <t>Half Class:</t>
  </si>
  <si>
    <t>Fire</t>
  </si>
  <si>
    <t>Enhanced Class:</t>
  </si>
  <si>
    <t>Master Bard</t>
  </si>
  <si>
    <t>Water</t>
  </si>
  <si>
    <t>Starting Town:</t>
  </si>
  <si>
    <t>Spell Slots Number:</t>
  </si>
  <si>
    <t>Enhanced Half Class:</t>
  </si>
  <si>
    <t>Storm</t>
  </si>
  <si>
    <t>HP</t>
  </si>
  <si>
    <t>Character Name:</t>
  </si>
  <si>
    <t>Inspiring Bard (Change Name)</t>
  </si>
  <si>
    <t>Select Element1:</t>
  </si>
  <si>
    <t>Earth</t>
  </si>
  <si>
    <t>SP</t>
  </si>
  <si>
    <t>Sex:</t>
  </si>
  <si>
    <t>Astrological Sign:</t>
  </si>
  <si>
    <t>Aranea</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</si>
  <si>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</si>
  <si>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</si>
  <si>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</si>
  <si>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</si>
  <si>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</si>
  <si>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</si>
  <si>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</si>
  <si>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</si>
  <si>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</si>
  <si>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</si>
  <si>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</si>
  <si>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</si>
  <si>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</si>
  <si>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</si>
  <si>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</si>
  <si>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</si>
  <si>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</si>
  <si>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</si>
  <si>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</si>
  <si>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</si>
  <si>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</si>
  <si>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</si>
  <si>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</si>
  <si>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</si>
  <si>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</si>
  <si>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</si>
  <si>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</si>
  <si>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</si>
  <si>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</si>
  <si>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</si>
  <si>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</si>
  <si>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</si>
  <si>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</si>
  <si>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</si>
  <si>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</si>
  <si>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</si>
  <si>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</si>
  <si>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</si>
  <si>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</si>
  <si>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</si>
  <si>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Choir of Dionysus</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</si>
  <si>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</si>
  <si>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</si>
  <si>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</si>
  <si>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</si>
  <si>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</si>
  <si>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</si>
  <si>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</si>
  <si>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</si>
  <si>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</si>
  <si>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</si>
  <si>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</si>
  <si>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</si>
  <si>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</si>
  <si>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</si>
  <si>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</si>
  <si>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</si>
  <si>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</si>
  <si>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</si>
  <si>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</si>
  <si>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</si>
  <si>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</si>
  <si>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</si>
  <si>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</si>
  <si>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</si>
  <si>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</si>
  <si>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</si>
  <si>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</si>
  <si>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</si>
  <si>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</si>
  <si>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</si>
  <si>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</si>
  <si>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</si>
  <si>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</si>
  <si>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</si>
  <si>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</si>
  <si>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</si>
  <si>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</si>
  <si>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</si>
  <si>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</si>
  <si>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</si>
  <si>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</si>
  <si>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</si>
  <si>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</si>
  <si>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</si>
  <si>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</si>
  <si>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</si>
  <si>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</si>
  <si>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</si>
  <si>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</si>
  <si>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</si>
  <si>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</si>
  <si>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</si>
  <si>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</si>
  <si>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</si>
  <si>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</si>
  <si>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</si>
  <si>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</si>
  <si>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</si>
  <si>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</si>
  <si>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</si>
  <si>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</si>
  <si>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</si>
  <si>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</si>
  <si>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</si>
  <si>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</si>
  <si>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</si>
  <si>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Amplify</t>
  </si>
  <si>
    <t>Choir of 1000 Voices</t>
  </si>
  <si>
    <t>Healing Melody</t>
  </si>
  <si>
    <t>Thrash Sesh</t>
  </si>
  <si>
    <t>Teleport</t>
  </si>
  <si>
    <t>Berserk</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</si>
  <si>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</si>
  <si>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</si>
  <si>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</si>
  <si>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</si>
  <si>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</si>
  <si>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</si>
  <si>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</si>
  <si>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</si>
  <si>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</si>
  <si>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</si>
  <si>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</si>
  <si>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</si>
  <si>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</si>
  <si>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</si>
  <si>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</si>
  <si>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DEF: +10000 +Half the SP cost for Fire, Water, Storm, Earth, and Nature spells.</t>
  </si>
  <si>
    <t>DEF: +10000 +When dealing damage with an instrument you will regain sp equal to the damage you caused.</t>
  </si>
  <si>
    <t>DEF: +10000 +When dealing damage with an instrument you will regain hp equal to the damage you caused.</t>
  </si>
  <si>
    <t>Instrument</t>
  </si>
  <si>
    <t>DMG: +2500, Fire DMG: +2500, Dark DMG: +2500, Chaos DMG: +2500 +This instrument will deal X2 damage while it's equipped. +Any spells that deal damage for the user will now do an additional X2. +25% chance to port the target you hit to a random location.</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</si>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</sst>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readingOrder="0" vertical="bottom"/>
    </xf>
    <xf borderId="0" fillId="0" fontId="8" numFmtId="164" xfId="0" applyAlignment="1" applyFont="1" applyNumberFormat="1">
      <alignment horizontal="righ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4001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Inspiring Bard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Fae</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Pure Elf</v>
      </c>
      <c r="C10" s="2"/>
      <c r="D10" s="13" t="str">
        <f>"🏹 Class: "&amp;IF(Leveler!I2,Leveler!K1&amp;CHAR(10)&amp;"Half Class: "&amp;Leveler!K2,Leveler!K1)</f>
        <v>🏹 Class: Bard</v>
      </c>
      <c r="E10" s="2"/>
      <c r="F10" s="14" t="s">
        <v>0</v>
      </c>
      <c r="G10" s="14" t="s">
        <v>1</v>
      </c>
      <c r="H10" s="14" t="s">
        <v>2</v>
      </c>
      <c r="I10" s="14" t="s">
        <v>3</v>
      </c>
      <c r="J10" s="14" t="s">
        <v>4</v>
      </c>
      <c r="L10" s="15" t="s">
        <v>5</v>
      </c>
      <c r="M10" s="2"/>
    </row>
    <row r="11">
      <c r="B11" s="11" t="str">
        <f>"⚔️ Attack: "&amp;Leveler!B18+F13</f>
        <v>⚔️ Attack: 219</v>
      </c>
      <c r="C11" s="11" t="str">
        <f>"🛡️ Defense: "&amp;Leveler!C18+G13</f>
        <v>🛡️ Defense: 30219</v>
      </c>
      <c r="D11" s="11" t="str">
        <f>"🎯 Accuracy: "&amp;Leveler!D18+H13</f>
        <v>🎯 Accuracy: 219</v>
      </c>
      <c r="E11" s="11" t="str">
        <f>"😇[P] Charisma: "&amp;Leveler!E20+I13</f>
        <v>😇[P] Charisma: 13</v>
      </c>
      <c r="F11" s="16"/>
      <c r="G11" s="14">
        <v>0.0</v>
      </c>
      <c r="H11" s="14">
        <v>0.0</v>
      </c>
      <c r="I11" s="14">
        <v>0.0</v>
      </c>
      <c r="J11" s="14">
        <v>0.0</v>
      </c>
      <c r="L11" s="17" t="s">
        <v>6</v>
      </c>
      <c r="M11" s="18">
        <v>1.0</v>
      </c>
    </row>
    <row r="12">
      <c r="B12" s="19" t="str">
        <f>"🤯[P] Wisdom: "&amp;Leveler!F20+F15</f>
        <v>🤯[P] Wisdom: 8</v>
      </c>
      <c r="C12" s="11" t="str">
        <f>"❤️[P] Constitution: "&amp;Leveler!G20+G15</f>
        <v>❤️[P] Constitution: 75</v>
      </c>
      <c r="D12" s="11" t="str">
        <f>"🏃‍♀️[P] Evasion: "&amp;Leveler!H20+H15</f>
        <v>🏃‍♀️[P] Evasion: 7</v>
      </c>
      <c r="E12" s="11" t="str">
        <f>"😈[P] Intimidation: "&amp;Leveler!I20+I15</f>
        <v>😈[P] Intimidation: 5</v>
      </c>
      <c r="F12" s="14" t="s">
        <v>7</v>
      </c>
      <c r="G12" s="14" t="s">
        <v>8</v>
      </c>
      <c r="H12" s="14" t="s">
        <v>9</v>
      </c>
      <c r="I12" s="14" t="s">
        <v>10</v>
      </c>
      <c r="L12" s="20" t="s">
        <v>11</v>
      </c>
      <c r="M12" s="21"/>
    </row>
    <row r="13">
      <c r="B13" s="13"/>
      <c r="C13" s="2"/>
      <c r="D13" s="13" t="str">
        <f>"🏊‍♀🏃‍♀️[P]  Mobility: "&amp;Leveler!J20</f>
        <v>🏊‍♀🏃‍♀️[P]  Mobility: 5</v>
      </c>
      <c r="E13" s="2"/>
      <c r="F13" s="14">
        <v>0.0</v>
      </c>
      <c r="G13" s="14">
        <v>0.0</v>
      </c>
      <c r="H13" s="14">
        <v>0.0</v>
      </c>
      <c r="I13" s="14">
        <v>0.0</v>
      </c>
      <c r="L13" s="22" t="s">
        <v>12</v>
      </c>
      <c r="M13" s="23"/>
    </row>
    <row r="14">
      <c r="B14" s="24" t="str">
        <f>"❤️ HP: "&amp;Leveler!B23-F11&amp;"/"&amp;Leveler!B23</f>
        <v>❤️ HP: 594/594</v>
      </c>
      <c r="C14" s="2"/>
      <c r="D14" s="24" t="str">
        <f>"🧪 SP: "&amp;Leveler!C23-G11&amp;"/"&amp;Leveler!C23</f>
        <v>🧪 SP: 594/594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Aranea</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Fae: When attacking with a Hit/Miss Spell you may roll 1d40 instead of 1d20 and you may apply any d20 bonuses to that roll.
+3 Charisma, +3 Wisdom, +2 Evasion
25% chance to be unaffected by spells casted by enemies.</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Select 3 of any element (Excluding Zen)
SP costs for Spells are halved. 
Start with one of the following instruments required to cast spells: lap harp, drum, flute, bagpipe, fiddle, lute.
Must have an instrument equipped to cast spells.
Can use Wisdom when attacking with a hit/miss spell.
Enhanced Class Bonuses: Rank 9 in all Elements (excluding Zen)
While you have a Instrument equipped, Acoustic Attacks do an additional X6 damage.
X2 additional Spell damage.
Entertain - The INN town service costs nothing for you.
Entertain II - When you go to a INN you recieve d20 times 1000 gilders. You can only use this ability once every 30 days of travel.</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t="s">
        <v>29</v>
      </c>
      <c r="D35" s="16" t="str">
        <f>IFERROR(VLOOKUP($C35,Backpack!$B$10:$G1019,MATCH(D$34,Backpack!$B$9:$G$9,0),FALSE),"")</f>
        <v/>
      </c>
      <c r="E35" s="16" t="str">
        <f>IFERROR(VLOOKUP($C35,Backpack!$B$10:$G1019,MATCH(E$34,Backpack!$B$9:$G$9,0),FALSE),"")</f>
        <v/>
      </c>
      <c r="F35" s="16" t="str">
        <f>IFERROR(VLOOKUP($C35,Backpack!$B$10:$G1019,MATCH(F$34,Backpack!$B$9:$G$9,0),FALSE),"")</f>
        <v>DEF: +10000 +Half the SP cost for Fire, Water, Storm, Earth, and Nature spells.</v>
      </c>
      <c r="G35" s="42"/>
      <c r="H35" s="42"/>
      <c r="I35" s="42"/>
      <c r="J35" s="37"/>
      <c r="K35" s="37"/>
      <c r="L35" s="37"/>
      <c r="T35" s="14" t="s">
        <v>30</v>
      </c>
      <c r="U35" s="16" t="b">
        <f>IF(ISBLANK($C35),"",IF(IFERROR(VLOOKUP($C35,Backpack!$B$10:$G1019,MATCH("Slot",Backpack!$B$9:$G$9,0),FALSE),"")=T35,FALSE,TRUE))</f>
        <v>0</v>
      </c>
      <c r="V35" s="16" t="b">
        <f>IF(ISBLANK($C35),"",IF(Value(IFERROR(VLOOKUP($C35,Backpack!$B$10:$G1019,MATCH("Level Requirement",Backpack!$B$9:$G$9,0),FALSE),""))&gt;Leveler!$B$13,TRUE,FALSE))</f>
        <v>0</v>
      </c>
    </row>
    <row r="36">
      <c r="B36" s="40" t="s">
        <v>31</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32</v>
      </c>
      <c r="U36" s="16" t="str">
        <f>IF(ISBLANK($C36),"",IF(IFERROR(VLOOKUP($C36,Backpack!$B$10:$G1019,MATCH("Slot",Backpack!$B$9:$G$9,0),FALSE),"")=T36,FALSE,TRUE))</f>
        <v/>
      </c>
      <c r="V36" s="16" t="str">
        <f>IF(ISBLANK($C36),"",IF(Value(IFERROR(VLOOKUP($C36,Backpack!$B$10:$G1019,MATCH("Level Requirement",Backpack!$B$9:$G$9,0),FALSE),""))&gt;Leveler!$B$13,TRUE,FALSE))</f>
        <v/>
      </c>
    </row>
    <row r="37">
      <c r="B37" s="43" t="s">
        <v>33</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32</v>
      </c>
      <c r="U37" s="16" t="str">
        <f>IF(ISBLANK($C37),"",IF(IFERROR(VLOOKUP($C37,Backpack!$B$10:$G1019,MATCH("Slot",Backpack!$B$9:$G$9,0),FALSE),"")=T37,FALSE,TRUE))</f>
        <v/>
      </c>
      <c r="V37" s="16" t="str">
        <f>IF(ISBLANK($C37),"",IF(Value(IFERROR(VLOOKUP($C37,Backpack!$B$10:$G1019,MATCH("Level Requirement",Backpack!$B$9:$G$9,0),FALSE),""))&gt;Leveler!$B$13,TRUE,FALSE))</f>
        <v/>
      </c>
    </row>
    <row r="38">
      <c r="B38" s="43" t="s">
        <v>34</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32</v>
      </c>
      <c r="U38" s="16" t="str">
        <f>IF(ISBLANK($C38),"",IF(IFERROR(VLOOKUP($C38,Backpack!$B$10:$G1019,MATCH("Slot",Backpack!$B$9:$G$9,0),FALSE),"")=T38,FALSE,TRUE))</f>
        <v/>
      </c>
      <c r="V38" s="16" t="str">
        <f>IF(ISBLANK($C38),"",IF(Value(IFERROR(VLOOKUP($C38,Backpack!$B$10:$G1019,MATCH("Level Requirement",Backpack!$B$9:$G$9,0),FALSE),""))&gt;Leveler!$B$13,TRUE,FALSE))</f>
        <v/>
      </c>
    </row>
    <row r="39">
      <c r="B39" s="40" t="s">
        <v>35</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36</v>
      </c>
      <c r="U39" s="16" t="str">
        <f>IF(ISBLANK($C39),"",IF(IFERROR(VLOOKUP($C39,Backpack!$B$10:$G1019,MATCH("Slot",Backpack!$B$9:$G$9,0),FALSE),"")=T39,FALSE,TRUE))</f>
        <v/>
      </c>
      <c r="V39" s="16" t="str">
        <f>IF(ISBLANK($C39),"",IF(Value(IFERROR(VLOOKUP($C39,Backpack!$B$10:$G1019,MATCH("Level Requirement",Backpack!$B$9:$G$9,0),FALSE),""))&gt;Leveler!$B$13,TRUE,FALSE))</f>
        <v/>
      </c>
    </row>
    <row r="40">
      <c r="B40" s="40" t="s">
        <v>37</v>
      </c>
      <c r="C40" s="41" t="s">
        <v>38</v>
      </c>
      <c r="D40" s="16" t="str">
        <f>IFERROR(VLOOKUP($C40,Backpack!$B$10:$G1019,MATCH(D$34,Backpack!$B$9:$G$9,0),FALSE),"")</f>
        <v/>
      </c>
      <c r="E40" s="16" t="str">
        <f>IFERROR(VLOOKUP($C40,Backpack!$B$10:$G1019,MATCH(E$34,Backpack!$B$9:$G$9,0),FALSE),"")</f>
        <v/>
      </c>
      <c r="F40" s="16" t="str">
        <f>IFERROR(VLOOKUP($C40,Backpack!$B$10:$G1019,MATCH(F$34,Backpack!$B$9:$G$9,0),FALSE),"")</f>
        <v>DEF: +10000 +When dealing damage with an instrument you will regain sp equal to the damage you caused.</v>
      </c>
      <c r="G40" s="42"/>
      <c r="H40" s="42"/>
      <c r="I40" s="42"/>
      <c r="T40" s="14" t="s">
        <v>39</v>
      </c>
      <c r="U40" s="16" t="b">
        <f>IF(ISBLANK($C40),"",IF(IFERROR(VLOOKUP($C40,Backpack!$B$10:$G1019,MATCH("Slot",Backpack!$B$9:$G$9,0),FALSE),"")=T40,FALSE,TRUE))</f>
        <v>0</v>
      </c>
      <c r="V40" s="16" t="b">
        <f>IF(ISBLANK($C40),"",IF(Value(IFERROR(VLOOKUP($C40,Backpack!$B$10:$G1019,MATCH("Level Requirement",Backpack!$B$9:$G$9,0),FALSE),""))&gt;Leveler!$B$13,TRUE,FALSE))</f>
        <v>0</v>
      </c>
    </row>
    <row r="41">
      <c r="B41" s="40" t="s">
        <v>40</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41</v>
      </c>
      <c r="U41" s="16" t="str">
        <f>IF(ISBLANK($C41),"",IF(IFERROR(VLOOKUP($C41,Backpack!$B$10:$G1019,MATCH("Slot",Backpack!$B$9:$G$9,0),FALSE),"")=T41,FALSE,TRUE))</f>
        <v/>
      </c>
      <c r="V41" s="16" t="str">
        <f>IF(ISBLANK($C41),"",IF(Value(IFERROR(VLOOKUP($C41,Backpack!$B$10:$G1019,MATCH("Level Requirement",Backpack!$B$9:$G$9,0),FALSE),""))&gt;Leveler!$B$13,TRUE,FALSE))</f>
        <v/>
      </c>
    </row>
    <row r="42">
      <c r="B42" s="40" t="s">
        <v>42</v>
      </c>
      <c r="C42" s="41" t="s">
        <v>43</v>
      </c>
      <c r="D42" s="16" t="str">
        <f>IFERROR(VLOOKUP($C42,Backpack!$B$10:$G1019,MATCH(D$34,Backpack!$B$9:$G$9,0),FALSE),"")</f>
        <v/>
      </c>
      <c r="E42" s="16" t="str">
        <f>IFERROR(VLOOKUP($C42,Backpack!$B$10:$G1019,MATCH(E$34,Backpack!$B$9:$G$9,0),FALSE),"")</f>
        <v>Instrument</v>
      </c>
      <c r="F42" s="16" t="str">
        <f>IFERROR(VLOOKUP($C42,Backpack!$B$10:$G1019,MATCH(F$34,Backpack!$B$9:$G$9,0),FALSE),"")</f>
        <v>DMG: +2500, Fire DMG: +2500, Dark DMG: +2500, Chaos DMG: +2500 +This instrument will deal X2 damage while it's equipped. +Any spells that deal damage for the user will now do an additional X2. +25% chance to port the target you hit to a random location.</v>
      </c>
      <c r="G42" s="42"/>
      <c r="H42" s="42"/>
      <c r="I42" s="42"/>
      <c r="J42" s="37"/>
      <c r="K42" s="37"/>
      <c r="L42" s="37"/>
      <c r="T42" s="14" t="s">
        <v>44</v>
      </c>
      <c r="U42" s="16" t="b">
        <f>IF(ISBLANK($C42),"",IF(IFERROR(VLOOKUP($C42,Backpack!$B$10:$G1019,MATCH("Slot",Backpack!$B$9:$G$9,0),FALSE),"")=T42,FALSE,TRUE))</f>
        <v>0</v>
      </c>
      <c r="V42" s="16" t="b">
        <f>IF(ISBLANK($C42),"",IF(Value(IFERROR(VLOOKUP($C42,Backpack!$B$10:$G1019,MATCH("Level Requirement",Backpack!$B$9:$G$9,0),FALSE),""))&gt;Leveler!$B$13,TRUE,FALSE))</f>
        <v>0</v>
      </c>
    </row>
    <row r="43">
      <c r="B43" s="40" t="s">
        <v>45</v>
      </c>
      <c r="C43" s="44"/>
      <c r="D43" s="16" t="str">
        <f>IFERROR(VLOOKUP($C43,Backpack!$B$10:$G1019,MATCH(D$34,Backpack!$B$9:$G$9,0),FALSE),"")</f>
        <v/>
      </c>
      <c r="E43" s="16" t="str">
        <f>IFERROR(VLOOKUP($C43,Backpack!$B$10:$G1019,MATCH(E$34,Backpack!$B$9:$G$9,0),FALSE),"")</f>
        <v/>
      </c>
      <c r="F43" s="16" t="str">
        <f>IFERROR(VLOOKUP($C43,Backpack!$B$10:$G1019,MATCH(F$34,Backpack!$B$9:$G$9,0),FALSE),"")</f>
        <v/>
      </c>
      <c r="G43" s="42"/>
      <c r="H43" s="42"/>
      <c r="I43" s="42"/>
      <c r="J43" s="37"/>
      <c r="K43" s="37"/>
      <c r="L43" s="37"/>
      <c r="T43" s="14" t="s">
        <v>44</v>
      </c>
      <c r="U43" s="16" t="str">
        <f>IF(ISBLANK($C43),"",IF(IFERROR(VLOOKUP($C43,Backpack!$B$10:$G1019,MATCH("Slot",Backpack!$B$9:$G$9,0),FALSE),"")=T43,FALSE,TRUE))</f>
        <v/>
      </c>
      <c r="V43" s="16" t="str">
        <f>IF(ISBLANK($C43),"",IF(Value(IFERROR(VLOOKUP($C43,Backpack!$B$10:$G1019,MATCH("Level Requirement",Backpack!$B$9:$G$9,0),FALSE),""))&gt;Leveler!$B$13,TRUE,FALSE))</f>
        <v/>
      </c>
    </row>
    <row r="44">
      <c r="B44" s="40" t="s">
        <v>46</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47</v>
      </c>
      <c r="U44" s="16" t="str">
        <f>IF(ISBLANK($C44),"",IF(IFERROR(VLOOKUP($C44,Backpack!$B$10:$G1019,MATCH("Slot",Backpack!$B$9:$G$9,0),FALSE),"")=T44,FALSE,TRUE))</f>
        <v/>
      </c>
      <c r="V44" s="16" t="str">
        <f>IF(ISBLANK($C44),"",IF(Value(IFERROR(VLOOKUP($C44,Backpack!$B$10:$G1019,MATCH("Level Requirement",Backpack!$B$9:$G$9,0),FALSE),""))&gt;Leveler!$B$13,TRUE,FALSE))</f>
        <v/>
      </c>
    </row>
    <row r="45">
      <c r="B45" s="40" t="s">
        <v>48</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47</v>
      </c>
      <c r="U45" s="16" t="str">
        <f>IF(ISBLANK($C45),"",IF(IFERROR(VLOOKUP($C45,Backpack!$B$10:$G1019,MATCH("Slot",Backpack!$B$9:$G$9,0),FALSE),"")=T45,FALSE,TRUE))</f>
        <v/>
      </c>
      <c r="V45" s="16" t="str">
        <f>IF(ISBLANK($C45),"",IF(Value(IFERROR(VLOOKUP($C45,Backpack!$B$10:$G1019,MATCH("Level Requirement",Backpack!$B$9:$G$9,0),FALSE),""))&gt;Leveler!$B$13,TRUE,FALSE))</f>
        <v/>
      </c>
    </row>
    <row r="46">
      <c r="B46" s="40" t="s">
        <v>49</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47</v>
      </c>
      <c r="U46" s="16" t="str">
        <f>IF(ISBLANK($C46),"",IF(IFERROR(VLOOKUP($C46,Backpack!$B$10:$G1019,MATCH("Slot",Backpack!$B$9:$G$9,0),FALSE),"")=T46,FALSE,TRUE))</f>
        <v/>
      </c>
      <c r="V46" s="16" t="str">
        <f>IF(ISBLANK($C46),"",IF(Value(IFERROR(VLOOKUP($C46,Backpack!$B$10:$G1019,MATCH("Level Requirement",Backpack!$B$9:$G$9,0),FALSE),""))&gt;Leveler!$B$13,TRUE,FALSE))</f>
        <v/>
      </c>
    </row>
    <row r="47">
      <c r="B47" s="40" t="s">
        <v>50</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47</v>
      </c>
      <c r="U47" s="16" t="str">
        <f>IF(ISBLANK($C47),"",IF(IFERROR(VLOOKUP($C47,Backpack!$B$10:$G1019,MATCH("Slot",Backpack!$B$9:$G$9,0),FALSE),"")=T47,FALSE,TRUE))</f>
        <v/>
      </c>
      <c r="V47" s="16" t="str">
        <f>IF(ISBLANK($C47),"",IF(Value(IFERROR(VLOOKUP($C47,Backpack!$B$10:$G1019,MATCH("Level Requirement",Backpack!$B$9:$G$9,0),FALSE),""))&gt;Leveler!$B$13,TRUE,FALSE))</f>
        <v/>
      </c>
    </row>
    <row r="48">
      <c r="B48" s="40" t="s">
        <v>51</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47</v>
      </c>
      <c r="U48" s="16" t="str">
        <f>IF(ISBLANK($C48),"",IF(IFERROR(VLOOKUP($C48,Backpack!$B$10:$G1019,MATCH("Slot",Backpack!$B$9:$G$9,0),FALSE),"")=T48,FALSE,TRUE))</f>
        <v/>
      </c>
      <c r="V48" s="16" t="str">
        <f>IF(ISBLANK($C48),"",IF(Value(IFERROR(VLOOKUP($C48,Backpack!$B$10:$G1019,MATCH("Level Requirement",Backpack!$B$9:$G$9,0),FALSE),""))&gt;Leveler!$B$13,TRUE,FALSE))</f>
        <v/>
      </c>
    </row>
    <row r="49">
      <c r="B49" s="40" t="s">
        <v>52</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47</v>
      </c>
      <c r="U49" s="16" t="str">
        <f>IF(ISBLANK($C49),"",IF(IFERROR(VLOOKUP($C49,Backpack!$B$10:$G1019,MATCH("Slot",Backpack!$B$9:$G$9,0),FALSE),"")=T49,FALSE,TRUE))</f>
        <v/>
      </c>
      <c r="V49" s="16" t="str">
        <f>IF(ISBLANK($C49),"",IF(Value(IFERROR(VLOOKUP($C49,Backpack!$B$10:$G1019,MATCH("Level Requirement",Backpack!$B$9:$G$9,0),FALSE),""))&gt;Leveler!$B$13,TRUE,FALSE))</f>
        <v/>
      </c>
    </row>
    <row r="50">
      <c r="B50" s="40" t="s">
        <v>53</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47</v>
      </c>
      <c r="U50" s="16" t="str">
        <f>IF(ISBLANK($C50),"",IF(IFERROR(VLOOKUP($C50,Backpack!$B$10:$G1019,MATCH("Slot",Backpack!$B$9:$G$9,0),FALSE),"")=T50,FALSE,TRUE))</f>
        <v/>
      </c>
      <c r="V50" s="16" t="str">
        <f>IF(ISBLANK($C50),"",IF(Value(IFERROR(VLOOKUP($C50,Backpack!$B$10:$G1019,MATCH("Level Requirement",Backpack!$B$9:$G$9,0),FALSE),""))&gt;Leveler!$B$13,TRUE,FALSE))</f>
        <v/>
      </c>
    </row>
    <row r="51">
      <c r="B51" s="40" t="s">
        <v>54</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47</v>
      </c>
      <c r="U51" s="16" t="str">
        <f>IF(ISBLANK($C51),"",IF(IFERROR(VLOOKUP($C51,Backpack!$B$10:$G1019,MATCH("Slot",Backpack!$B$9:$G$9,0),FALSE),"")=T51,FALSE,TRUE))</f>
        <v/>
      </c>
      <c r="V51" s="16" t="str">
        <f>IF(ISBLANK($C51),"",IF(Value(IFERROR(VLOOKUP($C51,Backpack!$B$10:$G1019,MATCH("Level Requirement",Backpack!$B$9:$G$9,0),FALSE),""))&gt;Leveler!$B$13,TRUE,FALSE))</f>
        <v/>
      </c>
    </row>
    <row r="52">
      <c r="B52" s="40" t="s">
        <v>55</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47</v>
      </c>
      <c r="U52" s="16" t="str">
        <f>IF(ISBLANK($C52),"",IF(IFERROR(VLOOKUP($C52,Backpack!$B$10:$G1019,MATCH("Slot",Backpack!$B$9:$G$9,0),FALSE),"")=T52,FALSE,TRUE))</f>
        <v/>
      </c>
      <c r="V52" s="16" t="str">
        <f>IF(ISBLANK($C52),"",IF(Value(IFERROR(VLOOKUP($C52,Backpack!$B$10:$G1019,MATCH("Level Requirement",Backpack!$B$9:$G$9,0),FALSE),""))&gt;Leveler!$B$13,TRUE,FALSE))</f>
        <v/>
      </c>
    </row>
    <row r="53">
      <c r="B53" s="40" t="s">
        <v>56</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47</v>
      </c>
      <c r="U53" s="16" t="str">
        <f>IF(ISBLANK($C53),"",IF(IFERROR(VLOOKUP($C53,Backpack!$B$10:$G1019,MATCH("Slot",Backpack!$B$9:$G$9,0),FALSE),"")=T53,FALSE,TRUE))</f>
        <v/>
      </c>
      <c r="V53" s="16" t="str">
        <f>IF(ISBLANK($C53),"",IF(Value(IFERROR(VLOOKUP($C53,Backpack!$B$10:$G1019,MATCH("Level Requirement",Backpack!$B$9:$G$9,0),FALSE),""))&gt;Leveler!$B$13,TRUE,FALSE))</f>
        <v/>
      </c>
    </row>
    <row r="54">
      <c r="B54" s="40" t="s">
        <v>57</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58</v>
      </c>
      <c r="U54" s="16" t="str">
        <f>IF(ISBLANK($C54),"",IF(IFERROR(VLOOKUP($C54,Backpack!$B$10:$G1019,MATCH("Slot",Backpack!$B$9:$G$9,0),FALSE),"")=T54,FALSE,TRUE))</f>
        <v/>
      </c>
      <c r="V54" s="16" t="str">
        <f>IF(ISBLANK($C54),"",IF(Value(IFERROR(VLOOKUP($C54,Backpack!$B$10:$G1019,MATCH("Level Requirement",Backpack!$B$9:$G$9,0),FALSE),""))&gt;Leveler!$B$13,TRUE,FALSE))</f>
        <v/>
      </c>
    </row>
    <row r="55">
      <c r="B55" s="40" t="s">
        <v>59</v>
      </c>
      <c r="C55" s="41" t="s">
        <v>60</v>
      </c>
      <c r="D55" s="16" t="str">
        <f>IFERROR(VLOOKUP($C55,Backpack!$B$10:$G1019,MATCH(D$34,Backpack!$B$9:$G$9,0),FALSE),"")</f>
        <v/>
      </c>
      <c r="E55" s="16" t="str">
        <f>IFERROR(VLOOKUP($C55,Backpack!$B$10:$G1019,MATCH(E$34,Backpack!$B$9:$G$9,0),FALSE),"")</f>
        <v/>
      </c>
      <c r="F55" s="16" t="str">
        <f>IFERROR(VLOOKUP($C55,Backpack!$B$10:$G1019,MATCH(F$34,Backpack!$B$9:$G$9,0),FALSE),"")</f>
        <v>DEF: +10000 +When dealing damage with an instrument you will regain hp equal to the damage you caused.</v>
      </c>
      <c r="G55" s="42"/>
      <c r="H55" s="42"/>
      <c r="I55" s="42"/>
      <c r="T55" s="14" t="s">
        <v>61</v>
      </c>
      <c r="U55" s="16" t="b">
        <f>IF(ISBLANK($C55),"",IF(IFERROR(VLOOKUP($C55,Backpack!$B$10:$G1019,MATCH("Slot",Backpack!$B$9:$G$9,0),FALSE),"")=T55,FALSE,TRUE))</f>
        <v>0</v>
      </c>
      <c r="V55" s="16" t="b">
        <f>IF(ISBLANK($C55),"",IF(Value(IFERROR(VLOOKUP($C55,Backpack!$B$10:$G1019,MATCH("Level Requirement",Backpack!$B$9:$G$9,0),FALSE),""))&gt;Leveler!$B$13,TRUE,FALSE))</f>
        <v>0</v>
      </c>
    </row>
    <row r="57">
      <c r="B57" s="45" t="s">
        <v>62</v>
      </c>
    </row>
    <row r="58">
      <c r="B58" s="46" t="s">
        <v>63</v>
      </c>
      <c r="C58" s="14" t="b">
        <v>0</v>
      </c>
      <c r="D58" s="46" t="s">
        <v>64</v>
      </c>
      <c r="E58" s="14" t="b">
        <v>0</v>
      </c>
    </row>
    <row r="59">
      <c r="B59" s="47" t="s">
        <v>65</v>
      </c>
      <c r="D59" s="48" t="s">
        <v>65</v>
      </c>
    </row>
    <row r="60">
      <c r="B60" s="46"/>
    </row>
    <row r="61">
      <c r="B61" s="46" t="s">
        <v>66</v>
      </c>
      <c r="C61" s="14" t="b">
        <v>0</v>
      </c>
      <c r="D61" s="46" t="s">
        <v>67</v>
      </c>
      <c r="E61" s="14" t="b">
        <v>0</v>
      </c>
    </row>
    <row r="62">
      <c r="B62" s="47" t="s">
        <v>65</v>
      </c>
      <c r="D62" s="48" t="s">
        <v>65</v>
      </c>
    </row>
    <row r="63">
      <c r="B63" s="46"/>
    </row>
    <row r="64">
      <c r="B64" s="46" t="s">
        <v>68</v>
      </c>
      <c r="C64" s="14" t="b">
        <v>0</v>
      </c>
      <c r="D64" s="46" t="s">
        <v>69</v>
      </c>
      <c r="E64" s="14" t="b">
        <v>0</v>
      </c>
    </row>
    <row r="65">
      <c r="B65" s="47" t="s">
        <v>65</v>
      </c>
      <c r="D65" s="48" t="s">
        <v>65</v>
      </c>
    </row>
    <row r="66">
      <c r="B66" s="46"/>
    </row>
    <row r="67">
      <c r="B67" s="46" t="s">
        <v>70</v>
      </c>
      <c r="C67" s="14" t="b">
        <v>0</v>
      </c>
      <c r="D67" s="46" t="s">
        <v>71</v>
      </c>
      <c r="E67" s="14" t="b">
        <v>0</v>
      </c>
    </row>
    <row r="68">
      <c r="B68" s="47" t="s">
        <v>65</v>
      </c>
      <c r="D68" s="48" t="s">
        <v>65</v>
      </c>
    </row>
    <row r="69">
      <c r="B69" s="46"/>
    </row>
    <row r="70">
      <c r="B70" s="46" t="s">
        <v>72</v>
      </c>
      <c r="C70" s="14" t="b">
        <v>0</v>
      </c>
      <c r="D70" s="46" t="s">
        <v>73</v>
      </c>
      <c r="E70" s="14" t="b">
        <v>0</v>
      </c>
    </row>
    <row r="71">
      <c r="B71" s="47" t="s">
        <v>74</v>
      </c>
      <c r="C71" s="16"/>
      <c r="D71" s="48" t="s">
        <v>65</v>
      </c>
    </row>
    <row r="72">
      <c r="B72" s="47" t="s">
        <v>75</v>
      </c>
    </row>
    <row r="73">
      <c r="B73" s="49" t="str">
        <f>HYPERLINK("https://docs.google.com/spreadsheets/d/1eSUtUwW_74KQVD7cwEk5N1aAXJ6VaYm26Np7dzqyft8", "Wanted Board")</f>
        <v>Wanted Board</v>
      </c>
    </row>
    <row r="74">
      <c r="B74" s="50"/>
    </row>
    <row r="75">
      <c r="B75" s="50"/>
    </row>
    <row r="76">
      <c r="B76" s="51" t="s">
        <v>76</v>
      </c>
      <c r="C76" s="38" t="s">
        <v>77</v>
      </c>
      <c r="D76" s="38" t="s">
        <v>78</v>
      </c>
      <c r="E76" s="38" t="s">
        <v>25</v>
      </c>
      <c r="F76" s="38" t="s">
        <v>79</v>
      </c>
      <c r="H76" s="38" t="s">
        <v>80</v>
      </c>
      <c r="J76" s="38" t="s">
        <v>25</v>
      </c>
      <c r="K76" s="38" t="s">
        <v>81</v>
      </c>
      <c r="L76" s="38" t="s">
        <v>26</v>
      </c>
      <c r="M76" s="38" t="s">
        <v>82</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83</v>
      </c>
      <c r="C1" s="38" t="s">
        <v>84</v>
      </c>
      <c r="D1" s="38" t="s">
        <v>85</v>
      </c>
      <c r="E1" s="38" t="s">
        <v>86</v>
      </c>
      <c r="F1" s="38" t="s">
        <v>87</v>
      </c>
      <c r="G1" s="62" t="s">
        <v>88</v>
      </c>
      <c r="H1" s="14" t="s">
        <v>89</v>
      </c>
      <c r="I1" s="38" t="s">
        <v>90</v>
      </c>
      <c r="J1" s="62" t="s">
        <v>91</v>
      </c>
      <c r="K1" s="14" t="s">
        <v>92</v>
      </c>
      <c r="P1" s="16">
        <f>VLOOKUP($K$1,Classes!$A$2:$AX993,MATCH("eleselect",Classes!$A1:$AX$1,0),FALSE)</f>
        <v>3</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2" t="s">
        <v>93</v>
      </c>
      <c r="H2" s="16"/>
      <c r="I2" s="14" t="b">
        <v>0</v>
      </c>
      <c r="J2" s="62" t="s">
        <v>94</v>
      </c>
      <c r="K2" s="14"/>
      <c r="S2" s="65" t="s">
        <v>95</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96</v>
      </c>
      <c r="K3" s="14" t="s">
        <v>97</v>
      </c>
      <c r="N3" s="16" t="str">
        <f>IFERROR(__xludf.DUMMYFUNCTION("FILTER(EnhancedClasses!$A$2:$B993,EnhancedClasses!$A$2:$A993=$K$1)"),"Bard")</f>
        <v>Bard</v>
      </c>
      <c r="O3" s="16" t="str">
        <f>IFERROR(__xludf.DUMMYFUNCTION("""COMPUTED_VALUE"""),"Master Bard")</f>
        <v>Master Bard</v>
      </c>
      <c r="P3" s="16" t="str">
        <f>IFERROR(__xludf.DUMMYFUNCTION("FILTER(EnhancedClasses!$A$2:$B993,EnhancedClasses!$A$2:$A993=$K$2)"),"")</f>
        <v/>
      </c>
      <c r="Q3" s="16"/>
      <c r="S3" s="65" t="s">
        <v>98</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99</v>
      </c>
      <c r="F4" s="16"/>
      <c r="H4" s="62" t="s">
        <v>100</v>
      </c>
      <c r="I4" s="68">
        <v>6.0</v>
      </c>
      <c r="J4" s="69" t="s">
        <v>101</v>
      </c>
      <c r="K4" s="14"/>
      <c r="P4" s="16"/>
      <c r="Q4" s="16"/>
      <c r="S4" s="65" t="s">
        <v>102</v>
      </c>
      <c r="T4" s="64"/>
      <c r="U4" s="37"/>
      <c r="V4" s="64"/>
      <c r="W4" s="37" t="str">
        <f>IFERROR(__xludf.DUMMYFUNCTION("""COMPUTED_VALUE"""),"Storm")</f>
        <v>Storm</v>
      </c>
      <c r="X4" s="66">
        <f>IFERROR(__xludf.DUMMYFUNCTION("""COMPUTED_VALUE"""),9.0)</f>
        <v>9</v>
      </c>
      <c r="Y4" s="67"/>
      <c r="Z4" s="37"/>
      <c r="AA4" s="37"/>
      <c r="AB4" s="64"/>
    </row>
    <row r="5">
      <c r="A5" s="62" t="s">
        <v>103</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104</v>
      </c>
      <c r="F5" s="14" t="s">
        <v>105</v>
      </c>
      <c r="J5" s="62" t="s">
        <v>106</v>
      </c>
      <c r="K5" s="14" t="s">
        <v>95</v>
      </c>
      <c r="P5" s="16"/>
      <c r="Q5" s="16"/>
      <c r="S5" s="65" t="s">
        <v>107</v>
      </c>
      <c r="T5" s="64"/>
      <c r="U5" s="37"/>
      <c r="V5" s="37"/>
      <c r="W5" s="37" t="str">
        <f>IFERROR(__xludf.DUMMYFUNCTION("""COMPUTED_VALUE"""),"Earth")</f>
        <v>Earth</v>
      </c>
      <c r="X5" s="66">
        <f>IFERROR(__xludf.DUMMYFUNCTION("""COMPUTED_VALUE"""),9.0)</f>
        <v>9</v>
      </c>
      <c r="Y5" s="67"/>
      <c r="Z5" s="37"/>
      <c r="AA5" s="37"/>
      <c r="AB5" s="64"/>
    </row>
    <row r="6">
      <c r="A6" s="62" t="s">
        <v>108</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109</v>
      </c>
      <c r="F6" s="68"/>
      <c r="H6" s="70" t="s">
        <v>110</v>
      </c>
      <c r="I6" s="18" t="s">
        <v>111</v>
      </c>
      <c r="J6" s="62" t="s">
        <v>112</v>
      </c>
      <c r="K6" s="14" t="s">
        <v>98</v>
      </c>
      <c r="P6" s="16"/>
      <c r="Q6" s="16"/>
      <c r="S6" s="65" t="s">
        <v>113</v>
      </c>
      <c r="T6" s="64"/>
      <c r="U6" s="37"/>
      <c r="V6" s="64"/>
      <c r="W6" s="37" t="str">
        <f>IFERROR(__xludf.DUMMYFUNCTION("""COMPUTED_VALUE"""),"Light")</f>
        <v>Light</v>
      </c>
      <c r="X6" s="66">
        <f>IFERROR(__xludf.DUMMYFUNCTION("""COMPUTED_VALUE"""),9.0)</f>
        <v>9</v>
      </c>
      <c r="Y6" s="67"/>
      <c r="Z6" s="37"/>
      <c r="AA6" s="37"/>
      <c r="AB6" s="64"/>
    </row>
    <row r="7">
      <c r="A7" s="62" t="s">
        <v>114</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115</v>
      </c>
      <c r="F7" s="68"/>
      <c r="H7" s="71" t="s">
        <v>116</v>
      </c>
      <c r="I7" s="21" t="str">
        <f>IFERROR(VLOOKUP($I$6,AstrologicalSigns!$A$2:$D993,2,FALSE),"")</f>
        <v>The Cosmic Weaver</v>
      </c>
      <c r="J7" s="62" t="s">
        <v>117</v>
      </c>
      <c r="K7" s="14" t="s">
        <v>102</v>
      </c>
      <c r="P7" s="16"/>
      <c r="Q7" s="16"/>
      <c r="S7" s="65" t="s">
        <v>118</v>
      </c>
      <c r="T7" s="64"/>
      <c r="U7" s="37"/>
      <c r="V7" s="64"/>
      <c r="W7" s="37" t="str">
        <f>IFERROR(__xludf.DUMMYFUNCTION("""COMPUTED_VALUE"""),"Dark")</f>
        <v>Dark</v>
      </c>
      <c r="X7" s="66">
        <f>IFERROR(__xludf.DUMMYFUNCTION("""COMPUTED_VALUE"""),9.0)</f>
        <v>9</v>
      </c>
      <c r="Y7" s="67"/>
      <c r="Z7" s="37"/>
      <c r="AA7" s="37"/>
      <c r="AB7" s="64"/>
    </row>
    <row r="8">
      <c r="A8" s="62" t="s">
        <v>119</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120</v>
      </c>
      <c r="F8" s="68"/>
      <c r="H8" s="72" t="s">
        <v>25</v>
      </c>
      <c r="I8" s="35"/>
      <c r="P8" s="16"/>
      <c r="Q8" s="16"/>
      <c r="S8" s="65" t="s">
        <v>121</v>
      </c>
      <c r="T8" s="64"/>
      <c r="U8" s="37"/>
      <c r="V8" s="37"/>
      <c r="W8" s="37" t="str">
        <f>IFERROR(__xludf.DUMMYFUNCTION("""COMPUTED_VALUE"""),"Spirit")</f>
        <v>Spirit</v>
      </c>
      <c r="X8" s="66">
        <f>IFERROR(__xludf.DUMMYFUNCTION("""COMPUTED_VALUE"""),9.0)</f>
        <v>9</v>
      </c>
      <c r="Y8" s="67"/>
      <c r="Z8" s="37"/>
      <c r="AA8" s="37"/>
      <c r="AB8" s="64"/>
    </row>
    <row r="9">
      <c r="A9" s="62" t="s">
        <v>122</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123</v>
      </c>
      <c r="F9" s="68"/>
      <c r="H9" s="73" t="str">
        <f>IFERROR(VLOOKUP($I$6,AstrologicalSigns!$A$2:$D993,3,FALSE),"")</f>
        <v>Allows the user to reroll one failed Fail/Succeed roll per battle/rp action.</v>
      </c>
      <c r="I9" s="35"/>
      <c r="J9" s="62" t="s">
        <v>124</v>
      </c>
      <c r="P9" s="16"/>
      <c r="Q9" s="16"/>
      <c r="S9" s="65" t="s">
        <v>125</v>
      </c>
      <c r="T9" s="64"/>
      <c r="U9" s="37"/>
      <c r="V9" s="37"/>
      <c r="W9" s="37" t="str">
        <f>IFERROR(__xludf.DUMMYFUNCTION("""COMPUTED_VALUE"""),"Order")</f>
        <v>Order</v>
      </c>
      <c r="X9" s="37">
        <f>IFERROR(__xludf.DUMMYFUNCTION("""COMPUTED_VALUE"""),9.0)</f>
        <v>9</v>
      </c>
      <c r="Y9" s="67"/>
      <c r="Z9" s="37"/>
      <c r="AA9" s="37"/>
      <c r="AB9" s="64"/>
    </row>
    <row r="10">
      <c r="E10" s="62" t="s">
        <v>126</v>
      </c>
      <c r="F10" s="16"/>
      <c r="H10" s="74"/>
      <c r="I10" s="35"/>
      <c r="P10" s="16"/>
      <c r="Q10" s="16"/>
      <c r="S10" s="65" t="s">
        <v>127</v>
      </c>
      <c r="T10" s="64"/>
      <c r="U10" s="37"/>
      <c r="V10" s="37"/>
      <c r="W10" s="37" t="str">
        <f>IFERROR(__xludf.DUMMYFUNCTION("""COMPUTED_VALUE"""),"Chaos")</f>
        <v>Chaos</v>
      </c>
      <c r="X10" s="37">
        <f>IFERROR(__xludf.DUMMYFUNCTION("""COMPUTED_VALUE"""),9.0)</f>
        <v>9</v>
      </c>
      <c r="Y10" s="67"/>
      <c r="Z10" s="37"/>
      <c r="AA10" s="37"/>
      <c r="AB10" s="64"/>
    </row>
    <row r="11" ht="18.75" customHeight="1">
      <c r="H11" s="7"/>
      <c r="I11" s="8"/>
      <c r="P11" s="16"/>
      <c r="Q11" s="16"/>
      <c r="S11" s="65" t="s">
        <v>128</v>
      </c>
      <c r="T11" s="64"/>
      <c r="U11" s="37"/>
      <c r="V11" s="37"/>
      <c r="W11" s="37" t="str">
        <f>IFERROR(__xludf.DUMMYFUNCTION("""COMPUTED_VALUE"""),"Nature")</f>
        <v>Nature</v>
      </c>
      <c r="X11" s="37">
        <f>IFERROR(__xludf.DUMMYFUNCTION("""COMPUTED_VALUE"""),9.0)</f>
        <v>9</v>
      </c>
      <c r="Y11" s="67"/>
      <c r="Z11" s="37"/>
      <c r="AA11" s="37"/>
      <c r="AB11" s="64"/>
    </row>
    <row r="12">
      <c r="B12" s="38" t="s">
        <v>129</v>
      </c>
      <c r="C12" s="38" t="s">
        <v>130</v>
      </c>
      <c r="E12" s="62" t="str">
        <f>"Damage Orb ("&amp;IF(ISBLANK(F12),0,1)&amp;"/1):"</f>
        <v>Damage Orb (0/1):</v>
      </c>
      <c r="F12" s="14"/>
      <c r="G12" s="62" t="s">
        <v>131</v>
      </c>
      <c r="H12" s="14"/>
      <c r="I12" s="75" t="s">
        <v>132</v>
      </c>
      <c r="J12" s="14" t="str">
        <f>Config!B3</f>
        <v>1mNoojYCRU_5eQ4skcH3ywN5n3JMKPeua1AFji0FLWdI</v>
      </c>
      <c r="P12" s="16"/>
      <c r="Q12" s="16"/>
      <c r="S12" s="65" t="s">
        <v>133</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134</v>
      </c>
      <c r="H13" s="14"/>
      <c r="J13" s="16"/>
      <c r="P13" s="16"/>
      <c r="Q13" s="16"/>
      <c r="S13" s="65" t="s">
        <v>135</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136</v>
      </c>
      <c r="F14" s="14"/>
      <c r="G14" s="62" t="s">
        <v>137</v>
      </c>
      <c r="H14" s="14"/>
      <c r="J14" s="14" t="s">
        <v>138</v>
      </c>
      <c r="P14" s="16"/>
      <c r="Q14" s="16"/>
      <c r="S14" s="65" t="s">
        <v>139</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140</v>
      </c>
      <c r="F15" s="16"/>
      <c r="P15" s="16"/>
      <c r="Q15" s="16"/>
      <c r="S15" s="65" t="s">
        <v>141</v>
      </c>
      <c r="T15" s="64"/>
      <c r="U15" s="37"/>
      <c r="V15" s="37"/>
      <c r="W15" s="37" t="str">
        <f>IFERROR(__xludf.DUMMYFUNCTION("""COMPUTED_VALUE"""),"Stasis")</f>
        <v>Stasis</v>
      </c>
      <c r="X15" s="37">
        <f>IFERROR(__xludf.DUMMYFUNCTION("""COMPUTED_VALUE"""),9.0)</f>
        <v>9</v>
      </c>
      <c r="Y15" s="67"/>
      <c r="Z15" s="37"/>
      <c r="AA15" s="37"/>
      <c r="AB15" s="64"/>
    </row>
    <row r="16">
      <c r="P16" s="16"/>
      <c r="Q16" s="16"/>
      <c r="S16" s="65" t="s">
        <v>142</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143</v>
      </c>
      <c r="K17" s="38"/>
      <c r="P17" s="16"/>
      <c r="Q17" s="16"/>
      <c r="S17" s="65" t="s">
        <v>144</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30219</v>
      </c>
      <c r="D18" s="77">
        <f>(B4+C4+D4)+((B13-1)*IF(E2,2,1))+SUM(D28:D48)</f>
        <v>219</v>
      </c>
      <c r="E18" s="76">
        <v>5.0</v>
      </c>
      <c r="F18" s="76">
        <v>5.0</v>
      </c>
      <c r="G18" s="76">
        <v>75.0</v>
      </c>
      <c r="H18" s="76">
        <v>5.0</v>
      </c>
      <c r="I18" s="76">
        <v>5.0</v>
      </c>
      <c r="J18" s="76">
        <v>5.0</v>
      </c>
      <c r="K18" s="77"/>
      <c r="P18" s="16"/>
      <c r="Q18" s="16"/>
      <c r="S18" s="65" t="s">
        <v>145</v>
      </c>
      <c r="T18" s="64"/>
      <c r="U18" s="37"/>
      <c r="V18" s="37"/>
      <c r="W18" s="37" t="str">
        <f>IFERROR(__xludf.DUMMYFUNCTION("""COMPUTED_VALUE"""),"Blood")</f>
        <v>Blood</v>
      </c>
      <c r="X18" s="37">
        <f>IFERROR(__xludf.DUMMYFUNCTION("""COMPUTED_VALUE"""),9.0)</f>
        <v>9</v>
      </c>
      <c r="Y18" s="67"/>
      <c r="Z18" s="37"/>
      <c r="AA18" s="37"/>
      <c r="AB18" s="64"/>
    </row>
    <row r="19">
      <c r="D19" s="75" t="s">
        <v>146</v>
      </c>
      <c r="E19" s="76">
        <v>5.0</v>
      </c>
      <c r="F19" s="76"/>
      <c r="G19" s="76"/>
      <c r="H19" s="76"/>
      <c r="I19" s="76"/>
      <c r="J19" s="76"/>
      <c r="P19" s="16"/>
      <c r="Q19" s="16"/>
      <c r="S19" s="65" t="s">
        <v>147</v>
      </c>
      <c r="T19" s="64"/>
      <c r="U19" s="37"/>
      <c r="V19" s="37"/>
      <c r="W19" s="37" t="str">
        <f>IFERROR(__xludf.DUMMYFUNCTION("""COMPUTED_VALUE"""),"Delta")</f>
        <v>Delta</v>
      </c>
      <c r="X19" s="37">
        <f>IFERROR(__xludf.DUMMYFUNCTION("""COMPUTED_VALUE"""),9.0)</f>
        <v>9</v>
      </c>
      <c r="Y19" s="67"/>
      <c r="Z19" s="37"/>
      <c r="AA19" s="37"/>
      <c r="AB19" s="64"/>
    </row>
    <row r="20">
      <c r="D20" s="75" t="s">
        <v>148</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13</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8</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75</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7</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5</v>
      </c>
      <c r="P20" s="16"/>
      <c r="Q20" s="16"/>
      <c r="S20" s="65" t="s">
        <v>149</v>
      </c>
      <c r="T20" s="37"/>
      <c r="U20" s="37"/>
      <c r="V20" s="37"/>
      <c r="W20" s="37" t="str">
        <f>IFERROR(__xludf.DUMMYFUNCTION("""COMPUTED_VALUE"""),"Astral")</f>
        <v>Astral</v>
      </c>
      <c r="X20" s="37">
        <f>IFERROR(__xludf.DUMMYFUNCTION("""COMPUTED_VALUE"""),9.0)</f>
        <v>9</v>
      </c>
      <c r="Y20" s="67"/>
      <c r="Z20" s="37"/>
      <c r="AA20" s="37"/>
      <c r="AB20" s="64"/>
    </row>
    <row r="21">
      <c r="P21" s="16"/>
      <c r="Q21" s="16"/>
      <c r="S21" s="65" t="s">
        <v>150</v>
      </c>
      <c r="T21" s="37"/>
      <c r="U21" s="37"/>
      <c r="V21" s="37"/>
      <c r="W21" s="37" t="str">
        <f>IFERROR(__xludf.DUMMYFUNCTION("""COMPUTED_VALUE"""),"Celestial")</f>
        <v>Celestial</v>
      </c>
      <c r="X21" s="37">
        <f>IFERROR(__xludf.DUMMYFUNCTION("""COMPUTED_VALUE"""),9.0)</f>
        <v>9</v>
      </c>
      <c r="Y21" s="67"/>
      <c r="Z21" s="37"/>
      <c r="AA21" s="37"/>
      <c r="AB21" s="64"/>
    </row>
    <row r="22">
      <c r="B22" s="38" t="s">
        <v>103</v>
      </c>
      <c r="C22" s="38" t="s">
        <v>108</v>
      </c>
      <c r="D22" s="38" t="s">
        <v>114</v>
      </c>
      <c r="E22" s="38" t="s">
        <v>119</v>
      </c>
      <c r="F22" s="38" t="s">
        <v>122</v>
      </c>
      <c r="H22" s="81" t="s">
        <v>151</v>
      </c>
      <c r="I22" s="82" t="s">
        <v>152</v>
      </c>
      <c r="J22" s="83"/>
      <c r="K22" s="83"/>
      <c r="L22" s="84"/>
      <c r="P22" s="16"/>
      <c r="Q22" s="16"/>
      <c r="S22" s="65" t="s">
        <v>153</v>
      </c>
      <c r="T22" s="64"/>
      <c r="U22" s="37"/>
      <c r="V22" s="37"/>
      <c r="W22" s="37" t="str">
        <f>IFERROR(__xludf.DUMMYFUNCTION("""COMPUTED_VALUE"""),"Acoustic")</f>
        <v>Acoustic</v>
      </c>
      <c r="X22" s="37">
        <f>IFERROR(__xludf.DUMMYFUNCTION("""COMPUTED_VALUE"""),9.0)</f>
        <v>9</v>
      </c>
      <c r="Y22" s="67"/>
      <c r="Z22" s="37"/>
      <c r="AA22" s="37"/>
      <c r="AB22" s="64"/>
    </row>
    <row r="23">
      <c r="B23" s="77">
        <f>(B5+C5+D5)+((B13-1)*IF(E2,2,1))+(G20*5)+SUM(E28:E48)</f>
        <v>594</v>
      </c>
      <c r="C23" s="77">
        <f>(B6+C6+D6)+((B13-1)*IF(E2,2,1))+(G20*5)+SUM(F28:F48)</f>
        <v>594</v>
      </c>
      <c r="D23" s="77">
        <f>(B7+C7+D7)+((B13-1)*IF(E2,2,1))+SUM(G28:G48)</f>
        <v>219</v>
      </c>
      <c r="E23" s="77">
        <f>(B8+C8+D8)+((B13-1)*IF(E2,2,1))+SUM(H28:H48)</f>
        <v>219</v>
      </c>
      <c r="F23" s="77">
        <f>(B9+C9+D9)+((B13-1)*IF(E2,2,1))+SUM(I28:I48)</f>
        <v>219</v>
      </c>
      <c r="H23" s="71" t="s">
        <v>154</v>
      </c>
      <c r="I23" s="42" t="str">
        <f>IFERROR(VLOOKUP($I$22,Factions!$A$2:$Z993,MATCH("Faction Ability 1",Factions!$A$1:$Z$1,0),FALSE)&amp;" - "&amp;VLOOKUP($I$22,Factions!$A$2:$Z993,MATCH("Ability Description 1",Factions!$A$1:$Z$1,0),FALSE),"")</f>
        <v>Preaching to the Choir - Buffs targetting an ally or self are guaranteed to succeed</v>
      </c>
      <c r="L23" s="35"/>
      <c r="P23" s="16"/>
      <c r="Q23" s="16"/>
      <c r="S23" s="65" t="s">
        <v>155</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Beguiling Charm - +5 Charisma</v>
      </c>
      <c r="L24" s="35"/>
      <c r="P24" s="16"/>
      <c r="Q24" s="16"/>
      <c r="S24" s="65" t="s">
        <v>156</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Ravaging Performance - Acoustic Attacks do an additional X4 Damage, and will have a 15% chance to inflict any enemy hit with Disoriented 5</v>
      </c>
      <c r="J25" s="88"/>
      <c r="K25" s="88"/>
      <c r="L25" s="8"/>
      <c r="P25" s="16"/>
      <c r="Q25" s="16"/>
    </row>
    <row r="26">
      <c r="A26" s="75"/>
      <c r="P26" s="16"/>
      <c r="Q26" s="16"/>
      <c r="S26" s="16" t="b">
        <f>IF(ISBLANK($F$10),FALSE,IF(VLOOKUP($I$22,Factions!$A$2:$Z993,MATCH($F$10,Factions!$A$1:$Z$1,0),FALSE),FALSE,TRUE))</f>
        <v>0</v>
      </c>
    </row>
    <row r="27">
      <c r="B27" s="62" t="s">
        <v>157</v>
      </c>
      <c r="C27" s="62" t="s">
        <v>158</v>
      </c>
      <c r="D27" s="62" t="s">
        <v>159</v>
      </c>
      <c r="E27" s="62" t="s">
        <v>160</v>
      </c>
      <c r="F27" s="62" t="s">
        <v>161</v>
      </c>
      <c r="G27" s="62" t="s">
        <v>162</v>
      </c>
      <c r="H27" s="62" t="s">
        <v>163</v>
      </c>
      <c r="I27" s="62" t="s">
        <v>164</v>
      </c>
      <c r="P27" s="16"/>
      <c r="Q27" s="16"/>
    </row>
    <row r="28">
      <c r="A28" s="76" t="s">
        <v>30</v>
      </c>
      <c r="B28" s="47">
        <v>10000.0</v>
      </c>
      <c r="C28" s="47"/>
      <c r="D28" s="47"/>
      <c r="E28" s="47"/>
      <c r="F28" s="47"/>
      <c r="G28" s="47"/>
      <c r="H28" s="47"/>
      <c r="I28" s="47"/>
      <c r="P28" s="16"/>
      <c r="Q28" s="16"/>
    </row>
    <row r="29">
      <c r="A29" s="76" t="s">
        <v>165</v>
      </c>
      <c r="B29" s="47"/>
      <c r="C29" s="47"/>
      <c r="D29" s="47"/>
      <c r="E29" s="47"/>
      <c r="F29" s="47"/>
      <c r="G29" s="47"/>
      <c r="H29" s="47"/>
      <c r="I29" s="47"/>
      <c r="P29" s="16"/>
      <c r="Q29" s="16"/>
    </row>
    <row r="30">
      <c r="A30" s="76" t="s">
        <v>166</v>
      </c>
      <c r="B30" s="47"/>
      <c r="C30" s="47"/>
      <c r="D30" s="47"/>
      <c r="E30" s="47"/>
      <c r="F30" s="47"/>
      <c r="G30" s="47"/>
      <c r="H30" s="47"/>
      <c r="I30" s="47"/>
      <c r="P30" s="16"/>
      <c r="Q30" s="16"/>
    </row>
    <row r="31">
      <c r="A31" s="76" t="s">
        <v>167</v>
      </c>
      <c r="B31" s="47"/>
      <c r="C31" s="47"/>
      <c r="D31" s="47"/>
      <c r="E31" s="47"/>
      <c r="F31" s="47"/>
      <c r="G31" s="47"/>
      <c r="H31" s="47"/>
      <c r="I31" s="47"/>
      <c r="P31" s="16"/>
      <c r="Q31" s="16"/>
    </row>
    <row r="32">
      <c r="A32" s="76" t="s">
        <v>36</v>
      </c>
      <c r="B32" s="47"/>
      <c r="C32" s="47"/>
      <c r="D32" s="47"/>
      <c r="E32" s="47"/>
      <c r="F32" s="47"/>
      <c r="G32" s="47"/>
      <c r="H32" s="47"/>
      <c r="I32" s="47"/>
      <c r="P32" s="16"/>
      <c r="Q32" s="16"/>
    </row>
    <row r="33">
      <c r="A33" s="76" t="s">
        <v>39</v>
      </c>
      <c r="B33" s="47">
        <v>10000.0</v>
      </c>
      <c r="C33" s="47"/>
      <c r="D33" s="47"/>
      <c r="E33" s="47"/>
      <c r="F33" s="47"/>
      <c r="G33" s="47"/>
      <c r="H33" s="47"/>
      <c r="I33" s="47"/>
      <c r="P33" s="16"/>
      <c r="Q33" s="16"/>
    </row>
    <row r="34">
      <c r="A34" s="76" t="s">
        <v>41</v>
      </c>
      <c r="B34" s="47"/>
      <c r="C34" s="47"/>
      <c r="D34" s="47"/>
      <c r="E34" s="47"/>
      <c r="F34" s="47"/>
      <c r="G34" s="47"/>
      <c r="H34" s="47"/>
      <c r="I34" s="47"/>
      <c r="P34" s="16"/>
      <c r="Q34" s="16"/>
    </row>
    <row r="35">
      <c r="A35" s="76" t="s">
        <v>168</v>
      </c>
      <c r="B35" s="47"/>
      <c r="C35" s="47"/>
      <c r="D35" s="47"/>
      <c r="E35" s="47"/>
      <c r="F35" s="47"/>
      <c r="G35" s="47"/>
      <c r="H35" s="47"/>
      <c r="I35" s="47"/>
      <c r="P35" s="16"/>
      <c r="Q35" s="16"/>
    </row>
    <row r="36">
      <c r="A36" s="76" t="s">
        <v>169</v>
      </c>
      <c r="B36" s="47"/>
      <c r="C36" s="47"/>
      <c r="D36" s="47"/>
      <c r="E36" s="47"/>
      <c r="F36" s="47"/>
      <c r="G36" s="47"/>
      <c r="H36" s="47"/>
      <c r="I36" s="47"/>
      <c r="P36" s="16"/>
      <c r="Q36" s="16"/>
    </row>
    <row r="37">
      <c r="A37" s="76" t="s">
        <v>170</v>
      </c>
      <c r="B37" s="47"/>
      <c r="C37" s="47"/>
      <c r="D37" s="47"/>
      <c r="E37" s="47"/>
      <c r="F37" s="47"/>
      <c r="G37" s="47"/>
      <c r="H37" s="47"/>
      <c r="I37" s="47"/>
      <c r="P37" s="16"/>
      <c r="Q37" s="16"/>
    </row>
    <row r="38">
      <c r="A38" s="76" t="s">
        <v>171</v>
      </c>
      <c r="B38" s="47"/>
      <c r="C38" s="47"/>
      <c r="D38" s="47"/>
      <c r="E38" s="47"/>
      <c r="F38" s="47"/>
      <c r="G38" s="47"/>
      <c r="H38" s="47"/>
      <c r="I38" s="47"/>
      <c r="P38" s="16"/>
      <c r="Q38" s="16"/>
    </row>
    <row r="39">
      <c r="A39" s="76" t="s">
        <v>172</v>
      </c>
      <c r="B39" s="47"/>
      <c r="C39" s="47"/>
      <c r="D39" s="47"/>
      <c r="E39" s="47"/>
      <c r="F39" s="47"/>
      <c r="G39" s="47"/>
      <c r="H39" s="47"/>
      <c r="I39" s="47"/>
      <c r="P39" s="16"/>
      <c r="Q39" s="16"/>
    </row>
    <row r="40">
      <c r="A40" s="76" t="s">
        <v>173</v>
      </c>
      <c r="B40" s="47"/>
      <c r="C40" s="47"/>
      <c r="D40" s="47"/>
      <c r="E40" s="47"/>
      <c r="F40" s="47"/>
      <c r="G40" s="47"/>
      <c r="H40" s="47"/>
      <c r="I40" s="47"/>
      <c r="P40" s="16"/>
      <c r="Q40" s="16"/>
    </row>
    <row r="41">
      <c r="A41" s="76" t="s">
        <v>174</v>
      </c>
      <c r="B41" s="47"/>
      <c r="C41" s="47"/>
      <c r="D41" s="47"/>
      <c r="E41" s="47"/>
      <c r="F41" s="47"/>
      <c r="G41" s="47"/>
      <c r="H41" s="47"/>
      <c r="I41" s="47"/>
      <c r="P41" s="16"/>
      <c r="Q41" s="16"/>
    </row>
    <row r="42">
      <c r="A42" s="76" t="s">
        <v>175</v>
      </c>
      <c r="B42" s="47"/>
      <c r="C42" s="47"/>
      <c r="D42" s="47"/>
      <c r="E42" s="47"/>
      <c r="F42" s="47"/>
      <c r="G42" s="47"/>
      <c r="H42" s="47"/>
      <c r="I42" s="47"/>
      <c r="P42" s="16"/>
      <c r="Q42" s="16"/>
    </row>
    <row r="43">
      <c r="A43" s="76" t="s">
        <v>176</v>
      </c>
      <c r="B43" s="47"/>
      <c r="C43" s="47"/>
      <c r="D43" s="47"/>
      <c r="E43" s="47"/>
      <c r="F43" s="47"/>
      <c r="G43" s="47"/>
      <c r="H43" s="47"/>
      <c r="I43" s="47"/>
      <c r="P43" s="16"/>
      <c r="Q43" s="16"/>
    </row>
    <row r="44">
      <c r="A44" s="76" t="s">
        <v>177</v>
      </c>
      <c r="B44" s="47"/>
      <c r="C44" s="47"/>
      <c r="D44" s="47"/>
      <c r="E44" s="47"/>
      <c r="F44" s="47"/>
      <c r="G44" s="47"/>
      <c r="H44" s="47"/>
      <c r="I44" s="47"/>
      <c r="P44" s="16"/>
      <c r="Q44" s="16"/>
    </row>
    <row r="45">
      <c r="A45" s="76" t="s">
        <v>178</v>
      </c>
      <c r="B45" s="47"/>
      <c r="C45" s="47"/>
      <c r="D45" s="47"/>
      <c r="E45" s="47"/>
      <c r="F45" s="47"/>
      <c r="G45" s="47"/>
      <c r="H45" s="47"/>
      <c r="I45" s="47"/>
      <c r="P45" s="16"/>
      <c r="Q45" s="16"/>
    </row>
    <row r="46">
      <c r="A46" s="76" t="s">
        <v>179</v>
      </c>
      <c r="B46" s="47"/>
      <c r="C46" s="47"/>
      <c r="D46" s="47"/>
      <c r="E46" s="47"/>
      <c r="F46" s="47"/>
      <c r="G46" s="47"/>
      <c r="H46" s="47"/>
      <c r="I46" s="47"/>
      <c r="P46" s="16"/>
      <c r="Q46" s="16"/>
    </row>
    <row r="47">
      <c r="A47" s="76" t="s">
        <v>58</v>
      </c>
      <c r="B47" s="47"/>
      <c r="C47" s="47"/>
      <c r="D47" s="47"/>
      <c r="E47" s="47"/>
      <c r="F47" s="47"/>
      <c r="G47" s="47"/>
      <c r="H47" s="47"/>
      <c r="I47" s="47"/>
      <c r="P47" s="16"/>
      <c r="Q47" s="16"/>
    </row>
    <row r="48">
      <c r="A48" s="76" t="s">
        <v>61</v>
      </c>
      <c r="B48" s="47">
        <v>10000.0</v>
      </c>
      <c r="C48" s="47"/>
      <c r="D48" s="47"/>
      <c r="E48" s="47"/>
      <c r="F48" s="47"/>
      <c r="G48" s="47"/>
      <c r="H48" s="47"/>
      <c r="I48" s="47"/>
      <c r="P48" s="16"/>
      <c r="Q48" s="16"/>
    </row>
    <row r="49">
      <c r="P49" s="16"/>
      <c r="Q49" s="16"/>
    </row>
    <row r="50">
      <c r="P50" s="16"/>
      <c r="Q50" s="16"/>
    </row>
    <row r="51">
      <c r="B51" s="38" t="s">
        <v>180</v>
      </c>
      <c r="P51" s="16"/>
      <c r="Q51" s="16"/>
    </row>
    <row r="52">
      <c r="A52" s="38" t="s">
        <v>181</v>
      </c>
      <c r="B52" s="38" t="s">
        <v>182</v>
      </c>
      <c r="C52" s="38" t="s">
        <v>183</v>
      </c>
      <c r="E52" s="38"/>
      <c r="P52" s="16"/>
      <c r="Q52" s="16"/>
    </row>
    <row r="53">
      <c r="A53" s="14" t="s">
        <v>184</v>
      </c>
      <c r="B53" s="14" t="b">
        <v>0</v>
      </c>
      <c r="C53" s="16"/>
      <c r="P53" s="16"/>
      <c r="Q53" s="16"/>
    </row>
    <row r="54">
      <c r="A54" s="14" t="s">
        <v>185</v>
      </c>
      <c r="B54" s="14" t="b">
        <v>0</v>
      </c>
      <c r="C54" s="16"/>
      <c r="P54" s="16"/>
      <c r="Q54" s="16"/>
    </row>
    <row r="55">
      <c r="A55" s="14" t="s">
        <v>186</v>
      </c>
      <c r="B55" s="14" t="b">
        <v>0</v>
      </c>
      <c r="C55" s="16"/>
      <c r="P55" s="16"/>
      <c r="Q55" s="16"/>
    </row>
    <row r="56">
      <c r="A56" s="14" t="s">
        <v>187</v>
      </c>
      <c r="B56" s="14" t="b">
        <v>0</v>
      </c>
      <c r="C56" s="16"/>
      <c r="P56" s="16"/>
      <c r="Q56" s="16"/>
    </row>
    <row r="57">
      <c r="A57" s="14" t="s">
        <v>188</v>
      </c>
      <c r="B57" s="14" t="b">
        <v>0</v>
      </c>
      <c r="C57" s="16"/>
      <c r="P57" s="16"/>
      <c r="Q57" s="16"/>
    </row>
    <row r="58">
      <c r="A58" s="14" t="s">
        <v>189</v>
      </c>
      <c r="B58" s="14" t="b">
        <v>0</v>
      </c>
      <c r="C58" s="16"/>
      <c r="P58" s="16"/>
      <c r="Q58" s="16"/>
    </row>
    <row r="59">
      <c r="A59" s="14" t="s">
        <v>190</v>
      </c>
      <c r="B59" s="14" t="b">
        <v>0</v>
      </c>
      <c r="C59" s="16"/>
      <c r="P59" s="16"/>
      <c r="Q59" s="16"/>
    </row>
    <row r="60">
      <c r="A60" s="14" t="s">
        <v>191</v>
      </c>
      <c r="B60" s="14" t="b">
        <v>0</v>
      </c>
      <c r="C60" s="16"/>
      <c r="P60" s="16"/>
      <c r="Q60" s="16"/>
    </row>
    <row r="61">
      <c r="A61" s="14" t="s">
        <v>192</v>
      </c>
      <c r="B61" s="14" t="b">
        <v>0</v>
      </c>
      <c r="C61" s="16"/>
      <c r="P61" s="16"/>
      <c r="Q61" s="16"/>
    </row>
    <row r="62">
      <c r="A62" s="14" t="s">
        <v>193</v>
      </c>
      <c r="B62" s="14" t="b">
        <v>0</v>
      </c>
      <c r="C62" s="16"/>
      <c r="P62" s="16"/>
      <c r="Q62" s="16"/>
    </row>
    <row r="63">
      <c r="A63" s="14" t="s">
        <v>194</v>
      </c>
      <c r="B63" s="14" t="b">
        <v>0</v>
      </c>
      <c r="C63" s="16"/>
      <c r="P63" s="16"/>
      <c r="Q63" s="16"/>
    </row>
    <row r="64">
      <c r="A64" s="14" t="s">
        <v>195</v>
      </c>
      <c r="B64" s="14" t="b">
        <v>0</v>
      </c>
      <c r="C64" s="16"/>
      <c r="P64" s="16"/>
      <c r="Q64" s="16"/>
    </row>
    <row r="65">
      <c r="A65" s="14" t="s">
        <v>196</v>
      </c>
      <c r="B65" s="14" t="b">
        <v>0</v>
      </c>
      <c r="C65" s="16"/>
      <c r="P65" s="16"/>
      <c r="Q65" s="16"/>
    </row>
    <row r="66">
      <c r="A66" s="14" t="s">
        <v>197</v>
      </c>
      <c r="B66" s="14" t="b">
        <v>0</v>
      </c>
      <c r="C66" s="16"/>
      <c r="P66" s="16"/>
      <c r="Q66" s="16"/>
    </row>
    <row r="67">
      <c r="A67" s="14" t="s">
        <v>198</v>
      </c>
      <c r="B67" s="14" t="b">
        <v>0</v>
      </c>
      <c r="C67" s="16"/>
      <c r="P67" s="16"/>
      <c r="Q67" s="16"/>
    </row>
    <row r="68">
      <c r="A68" s="14" t="s">
        <v>199</v>
      </c>
      <c r="B68" s="14" t="b">
        <v>0</v>
      </c>
      <c r="C68" s="16"/>
      <c r="P68" s="16"/>
      <c r="Q68" s="16"/>
    </row>
    <row r="69">
      <c r="A69" s="14" t="s">
        <v>200</v>
      </c>
      <c r="B69" s="14" t="b">
        <v>0</v>
      </c>
      <c r="C69" s="16"/>
      <c r="P69" s="16"/>
      <c r="Q69" s="16"/>
    </row>
    <row r="70">
      <c r="A70" s="14" t="s">
        <v>201</v>
      </c>
      <c r="B70" s="14" t="b">
        <v>0</v>
      </c>
      <c r="C70" s="16"/>
      <c r="P70" s="16"/>
      <c r="Q70" s="16"/>
    </row>
    <row r="71">
      <c r="A71" s="14" t="s">
        <v>202</v>
      </c>
      <c r="B71" s="14" t="b">
        <v>0</v>
      </c>
      <c r="C71" s="16"/>
      <c r="P71" s="16"/>
      <c r="Q71" s="16"/>
    </row>
    <row r="72">
      <c r="A72" s="14" t="s">
        <v>203</v>
      </c>
      <c r="B72" s="14" t="b">
        <v>0</v>
      </c>
      <c r="C72" s="16"/>
      <c r="P72" s="16"/>
      <c r="Q72" s="16"/>
    </row>
    <row r="73">
      <c r="A73" s="14" t="s">
        <v>204</v>
      </c>
      <c r="B73" s="14" t="b">
        <v>0</v>
      </c>
      <c r="C73" s="16"/>
      <c r="P73" s="16"/>
      <c r="Q73" s="16"/>
    </row>
    <row r="74">
      <c r="A74" s="14" t="s">
        <v>205</v>
      </c>
      <c r="B74" s="14" t="b">
        <v>0</v>
      </c>
      <c r="C74" s="16"/>
      <c r="P74" s="16"/>
      <c r="Q74" s="16"/>
    </row>
    <row r="75">
      <c r="A75" s="14" t="s">
        <v>206</v>
      </c>
      <c r="B75" s="14" t="b">
        <v>0</v>
      </c>
      <c r="C75" s="16"/>
      <c r="P75" s="16"/>
      <c r="Q75" s="16"/>
    </row>
    <row r="76">
      <c r="P76" s="16"/>
      <c r="Q76" s="16"/>
    </row>
    <row r="77">
      <c r="P77" s="16"/>
      <c r="Q77" s="16"/>
    </row>
    <row r="78">
      <c r="P78" s="16"/>
      <c r="Q78" s="16"/>
    </row>
    <row r="79">
      <c r="P79" s="16"/>
      <c r="Q79" s="16"/>
    </row>
    <row r="80">
      <c r="P80" s="16"/>
      <c r="Q80" s="16"/>
    </row>
    <row r="81">
      <c r="P81" s="16"/>
      <c r="Q81" s="16"/>
    </row>
    <row r="82">
      <c r="P82" s="16"/>
      <c r="Q82" s="16"/>
    </row>
    <row r="83">
      <c r="P83" s="16"/>
      <c r="Q83" s="16"/>
    </row>
    <row r="84">
      <c r="P84" s="16"/>
      <c r="Q84" s="16"/>
    </row>
    <row r="85">
      <c r="P85" s="16"/>
      <c r="Q85" s="16"/>
    </row>
    <row r="86">
      <c r="P86" s="16"/>
      <c r="Q86" s="16"/>
    </row>
    <row r="87">
      <c r="P87" s="16"/>
      <c r="Q87" s="16"/>
    </row>
    <row r="88">
      <c r="P88" s="16"/>
      <c r="Q88" s="16"/>
    </row>
    <row r="89">
      <c r="P89" s="16"/>
      <c r="Q89" s="16"/>
    </row>
    <row r="90">
      <c r="P90" s="16"/>
      <c r="Q90" s="16"/>
    </row>
    <row r="91">
      <c r="P91" s="16"/>
      <c r="Q91" s="16"/>
    </row>
    <row r="92">
      <c r="P92" s="16"/>
      <c r="Q92" s="16"/>
    </row>
    <row r="93">
      <c r="P93" s="16"/>
      <c r="Q93" s="16"/>
    </row>
    <row r="94">
      <c r="P94" s="16"/>
      <c r="Q94" s="16"/>
    </row>
    <row r="95">
      <c r="P95" s="16"/>
      <c r="Q95" s="16"/>
    </row>
    <row r="96">
      <c r="P96" s="16"/>
      <c r="Q96" s="16"/>
    </row>
    <row r="97">
      <c r="P97" s="16"/>
      <c r="Q97" s="16"/>
    </row>
    <row r="98">
      <c r="P98" s="16"/>
      <c r="Q98" s="16"/>
    </row>
    <row r="99">
      <c r="P99" s="16"/>
      <c r="Q99" s="16"/>
    </row>
    <row r="100">
      <c r="P100" s="16"/>
      <c r="Q100" s="16"/>
    </row>
    <row r="101">
      <c r="P101" s="16"/>
      <c r="Q101" s="16"/>
    </row>
    <row r="102">
      <c r="P102" s="16"/>
      <c r="Q102" s="16"/>
    </row>
    <row r="103">
      <c r="P103" s="16"/>
      <c r="Q103" s="16"/>
    </row>
    <row r="104">
      <c r="P104" s="16"/>
      <c r="Q104" s="16"/>
    </row>
    <row r="105">
      <c r="P105" s="16"/>
      <c r="Q105" s="16"/>
    </row>
    <row r="106">
      <c r="P106" s="16"/>
      <c r="Q106" s="16"/>
    </row>
    <row r="107">
      <c r="P107" s="16"/>
      <c r="Q107" s="16"/>
    </row>
    <row r="108">
      <c r="P108" s="16"/>
      <c r="Q108" s="16"/>
    </row>
    <row r="109">
      <c r="P109" s="16"/>
      <c r="Q109" s="16"/>
    </row>
    <row r="110">
      <c r="P110" s="16"/>
      <c r="Q110" s="16"/>
    </row>
    <row r="111">
      <c r="P111" s="16"/>
      <c r="Q111" s="16"/>
    </row>
    <row r="112">
      <c r="P112" s="16"/>
      <c r="Q112" s="16"/>
    </row>
    <row r="113">
      <c r="P113" s="16"/>
      <c r="Q113" s="16"/>
    </row>
    <row r="114">
      <c r="P114" s="16"/>
      <c r="Q114" s="16"/>
    </row>
    <row r="115">
      <c r="P115" s="16"/>
      <c r="Q115" s="16"/>
    </row>
    <row r="116">
      <c r="P116" s="16"/>
      <c r="Q116" s="16"/>
    </row>
    <row r="117">
      <c r="P117" s="16"/>
      <c r="Q117" s="16"/>
    </row>
    <row r="118">
      <c r="P118" s="16"/>
      <c r="Q118" s="16"/>
    </row>
    <row r="119">
      <c r="P119" s="16"/>
      <c r="Q119" s="16"/>
    </row>
    <row r="120">
      <c r="P120" s="16"/>
      <c r="Q120" s="16"/>
    </row>
    <row r="121">
      <c r="P121" s="16"/>
      <c r="Q121" s="16"/>
    </row>
    <row r="122">
      <c r="P122" s="16"/>
      <c r="Q122" s="16"/>
    </row>
    <row r="123">
      <c r="P123" s="16"/>
      <c r="Q123" s="16"/>
    </row>
    <row r="124">
      <c r="P124" s="16"/>
      <c r="Q124" s="16"/>
    </row>
    <row r="125">
      <c r="P125" s="16"/>
      <c r="Q125" s="16"/>
    </row>
    <row r="126">
      <c r="P126" s="16"/>
      <c r="Q126" s="16"/>
    </row>
    <row r="127">
      <c r="P127" s="16"/>
      <c r="Q127" s="16"/>
    </row>
    <row r="128">
      <c r="P128" s="16"/>
      <c r="Q128" s="16"/>
    </row>
    <row r="129">
      <c r="P129" s="16"/>
      <c r="Q129" s="16"/>
    </row>
    <row r="130">
      <c r="P130" s="16"/>
      <c r="Q130" s="16"/>
    </row>
    <row r="131">
      <c r="P131" s="16"/>
      <c r="Q131" s="16"/>
    </row>
    <row r="132">
      <c r="P132" s="16"/>
      <c r="Q132" s="16"/>
    </row>
    <row r="133">
      <c r="P133" s="16"/>
      <c r="Q133" s="16"/>
    </row>
    <row r="134">
      <c r="P134" s="16"/>
      <c r="Q134" s="16"/>
    </row>
    <row r="135">
      <c r="P135" s="16"/>
      <c r="Q135" s="16"/>
    </row>
    <row r="136">
      <c r="P136" s="16"/>
      <c r="Q136" s="16"/>
    </row>
    <row r="137">
      <c r="P137" s="16"/>
      <c r="Q137" s="16"/>
    </row>
    <row r="138">
      <c r="P138" s="16"/>
      <c r="Q138" s="16"/>
    </row>
    <row r="139">
      <c r="P139" s="16"/>
      <c r="Q139" s="16"/>
    </row>
    <row r="140">
      <c r="P140" s="16"/>
      <c r="Q140" s="16"/>
    </row>
    <row r="141">
      <c r="P141" s="16"/>
      <c r="Q141" s="16"/>
    </row>
    <row r="142">
      <c r="P142" s="16"/>
      <c r="Q142" s="16"/>
    </row>
    <row r="143">
      <c r="P143" s="16"/>
      <c r="Q143" s="16"/>
    </row>
    <row r="144">
      <c r="P144" s="16"/>
      <c r="Q144" s="16"/>
    </row>
    <row r="145">
      <c r="P145" s="16"/>
      <c r="Q145" s="16"/>
    </row>
    <row r="146">
      <c r="P146" s="16"/>
      <c r="Q146" s="16"/>
    </row>
    <row r="147">
      <c r="P147" s="16"/>
      <c r="Q147" s="16"/>
    </row>
    <row r="148">
      <c r="P148" s="16"/>
      <c r="Q148" s="16"/>
    </row>
    <row r="149">
      <c r="P149" s="16"/>
      <c r="Q149" s="16"/>
    </row>
    <row r="150">
      <c r="P150" s="16"/>
      <c r="Q150" s="16"/>
    </row>
    <row r="151">
      <c r="P151" s="16"/>
      <c r="Q151" s="16"/>
    </row>
    <row r="152">
      <c r="P152" s="16"/>
      <c r="Q152" s="16"/>
    </row>
    <row r="153">
      <c r="P153" s="16"/>
      <c r="Q153" s="16"/>
    </row>
    <row r="154">
      <c r="P154" s="16"/>
      <c r="Q154" s="16"/>
    </row>
    <row r="155">
      <c r="P155" s="16"/>
      <c r="Q155" s="16"/>
    </row>
    <row r="156">
      <c r="P156" s="16"/>
      <c r="Q156" s="16"/>
    </row>
    <row r="157">
      <c r="P157" s="16"/>
      <c r="Q157" s="16"/>
    </row>
    <row r="158">
      <c r="P158" s="16"/>
      <c r="Q158" s="16"/>
    </row>
    <row r="159">
      <c r="P159" s="16"/>
      <c r="Q159" s="16"/>
    </row>
    <row r="160">
      <c r="P160" s="16"/>
      <c r="Q160" s="16"/>
    </row>
    <row r="161">
      <c r="P161" s="16"/>
      <c r="Q161" s="16"/>
    </row>
    <row r="162">
      <c r="P162" s="16"/>
      <c r="Q162" s="16"/>
    </row>
    <row r="163">
      <c r="P163" s="16"/>
      <c r="Q163" s="16"/>
    </row>
    <row r="164">
      <c r="P164" s="16"/>
      <c r="Q164" s="16"/>
    </row>
    <row r="165">
      <c r="P165" s="16"/>
      <c r="Q165" s="16"/>
    </row>
    <row r="166">
      <c r="P166" s="16"/>
      <c r="Q166" s="16"/>
    </row>
    <row r="167">
      <c r="P167" s="16"/>
      <c r="Q167" s="16"/>
    </row>
    <row r="168">
      <c r="P168" s="16"/>
      <c r="Q168" s="16"/>
    </row>
    <row r="169">
      <c r="P169" s="16"/>
      <c r="Q169" s="16"/>
    </row>
    <row r="170">
      <c r="P170" s="16"/>
      <c r="Q170" s="16"/>
    </row>
    <row r="171">
      <c r="P171" s="16"/>
      <c r="Q171" s="16"/>
    </row>
    <row r="172">
      <c r="P172" s="16"/>
      <c r="Q172" s="16"/>
    </row>
    <row r="173">
      <c r="P173" s="16"/>
      <c r="Q173" s="16"/>
    </row>
    <row r="174">
      <c r="P174" s="16"/>
      <c r="Q174" s="16"/>
    </row>
    <row r="175">
      <c r="P175" s="16"/>
      <c r="Q175" s="16"/>
    </row>
    <row r="176">
      <c r="P176" s="16"/>
      <c r="Q176" s="16"/>
    </row>
    <row r="177">
      <c r="P177" s="16"/>
      <c r="Q177" s="16"/>
    </row>
    <row r="178">
      <c r="P178" s="16"/>
      <c r="Q178" s="16"/>
    </row>
    <row r="179">
      <c r="P179" s="16"/>
      <c r="Q179" s="16"/>
    </row>
    <row r="180">
      <c r="P180" s="16"/>
      <c r="Q180" s="16"/>
    </row>
    <row r="181">
      <c r="P181" s="16"/>
      <c r="Q181" s="16"/>
    </row>
    <row r="182">
      <c r="P182" s="16"/>
      <c r="Q182" s="16"/>
    </row>
    <row r="183">
      <c r="P183" s="16"/>
      <c r="Q183" s="16"/>
    </row>
    <row r="184">
      <c r="P184" s="16"/>
      <c r="Q184" s="16"/>
    </row>
    <row r="185">
      <c r="P185" s="16"/>
      <c r="Q185" s="16"/>
    </row>
    <row r="186">
      <c r="P186" s="16"/>
      <c r="Q186" s="16"/>
    </row>
    <row r="187">
      <c r="P187" s="16"/>
      <c r="Q187" s="16"/>
    </row>
    <row r="188">
      <c r="P188" s="16"/>
      <c r="Q188" s="16"/>
    </row>
    <row r="189">
      <c r="P189" s="16"/>
      <c r="Q189" s="16"/>
    </row>
    <row r="190">
      <c r="P190" s="16"/>
      <c r="Q190" s="16"/>
    </row>
    <row r="191">
      <c r="P191" s="16"/>
      <c r="Q191" s="16"/>
    </row>
    <row r="192">
      <c r="P192" s="16"/>
      <c r="Q192" s="16"/>
    </row>
    <row r="193">
      <c r="P193" s="16"/>
      <c r="Q193" s="16"/>
    </row>
    <row r="194">
      <c r="P194" s="16"/>
      <c r="Q194" s="16"/>
    </row>
    <row r="195">
      <c r="P195" s="16"/>
      <c r="Q195" s="16"/>
    </row>
    <row r="196">
      <c r="P196" s="16"/>
      <c r="Q196" s="16"/>
    </row>
    <row r="197">
      <c r="P197" s="16"/>
      <c r="Q197" s="16"/>
    </row>
    <row r="198">
      <c r="P198" s="16"/>
      <c r="Q198" s="16"/>
    </row>
    <row r="199">
      <c r="P199" s="16"/>
      <c r="Q199" s="16"/>
    </row>
    <row r="200">
      <c r="P200" s="16"/>
      <c r="Q200" s="16"/>
    </row>
    <row r="201">
      <c r="P201" s="16"/>
      <c r="Q201" s="16"/>
    </row>
    <row r="202">
      <c r="P202" s="16"/>
      <c r="Q202" s="16"/>
    </row>
    <row r="203">
      <c r="P203" s="16"/>
      <c r="Q203" s="16"/>
    </row>
    <row r="204">
      <c r="P204" s="16"/>
      <c r="Q204" s="16"/>
    </row>
    <row r="205">
      <c r="P205" s="16"/>
      <c r="Q205" s="16"/>
    </row>
    <row r="206">
      <c r="P206" s="16"/>
      <c r="Q206" s="16"/>
    </row>
    <row r="207">
      <c r="P207" s="16"/>
      <c r="Q207" s="16"/>
    </row>
    <row r="208">
      <c r="P208" s="16"/>
      <c r="Q208" s="16"/>
    </row>
    <row r="209">
      <c r="P209" s="16"/>
      <c r="Q209" s="16"/>
    </row>
    <row r="210">
      <c r="P210" s="16"/>
      <c r="Q210" s="16"/>
    </row>
    <row r="211">
      <c r="P211" s="16"/>
      <c r="Q211" s="16"/>
    </row>
    <row r="212">
      <c r="P212" s="16"/>
      <c r="Q212" s="16"/>
    </row>
    <row r="213">
      <c r="P213" s="16"/>
      <c r="Q213" s="16"/>
    </row>
    <row r="214">
      <c r="P214" s="16"/>
      <c r="Q214" s="16"/>
    </row>
    <row r="215">
      <c r="P215" s="16"/>
      <c r="Q215" s="16"/>
    </row>
    <row r="216">
      <c r="P216" s="16"/>
      <c r="Q216" s="16"/>
    </row>
    <row r="217">
      <c r="P217" s="16"/>
      <c r="Q217" s="16"/>
    </row>
    <row r="218">
      <c r="P218" s="16"/>
      <c r="Q218" s="16"/>
    </row>
    <row r="219">
      <c r="P219" s="16"/>
      <c r="Q219" s="16"/>
    </row>
    <row r="220">
      <c r="P220" s="16"/>
      <c r="Q220" s="16"/>
    </row>
    <row r="221">
      <c r="P221" s="16"/>
      <c r="Q221" s="16"/>
    </row>
    <row r="222">
      <c r="P222" s="16"/>
      <c r="Q222" s="16"/>
    </row>
    <row r="223">
      <c r="P223" s="16"/>
      <c r="Q223" s="16"/>
    </row>
    <row r="224">
      <c r="P224" s="16"/>
      <c r="Q224" s="16"/>
    </row>
    <row r="225">
      <c r="P225" s="16"/>
      <c r="Q225" s="16"/>
    </row>
    <row r="226">
      <c r="P226" s="16"/>
      <c r="Q226" s="16"/>
    </row>
    <row r="227">
      <c r="P227" s="16"/>
      <c r="Q227" s="16"/>
    </row>
    <row r="228">
      <c r="P228" s="16"/>
      <c r="Q228" s="16"/>
    </row>
    <row r="229">
      <c r="P229" s="16"/>
      <c r="Q229" s="16"/>
    </row>
    <row r="230">
      <c r="P230" s="16"/>
      <c r="Q230" s="16"/>
    </row>
    <row r="231">
      <c r="P231" s="16"/>
      <c r="Q231" s="16"/>
    </row>
    <row r="232">
      <c r="P232" s="16"/>
      <c r="Q232" s="16"/>
    </row>
    <row r="233">
      <c r="P233" s="16"/>
      <c r="Q233" s="16"/>
    </row>
    <row r="234">
      <c r="P234" s="16"/>
      <c r="Q234" s="16"/>
    </row>
    <row r="235">
      <c r="P235" s="16"/>
      <c r="Q235" s="16"/>
    </row>
    <row r="236">
      <c r="P236" s="16"/>
      <c r="Q236" s="16"/>
    </row>
    <row r="237">
      <c r="P237" s="16"/>
      <c r="Q237" s="16"/>
    </row>
    <row r="238">
      <c r="P238" s="16"/>
      <c r="Q238" s="16"/>
    </row>
    <row r="239">
      <c r="P239" s="16"/>
      <c r="Q239" s="16"/>
    </row>
    <row r="240">
      <c r="P240" s="16"/>
      <c r="Q240" s="16"/>
    </row>
    <row r="241">
      <c r="P241" s="16"/>
      <c r="Q241" s="16"/>
    </row>
    <row r="242">
      <c r="P242" s="16"/>
      <c r="Q242" s="16"/>
    </row>
    <row r="243">
      <c r="P243" s="16"/>
      <c r="Q243" s="16"/>
    </row>
    <row r="244">
      <c r="P244" s="16"/>
      <c r="Q244" s="16"/>
    </row>
    <row r="245">
      <c r="P245" s="16"/>
      <c r="Q245" s="16"/>
    </row>
    <row r="246">
      <c r="P246" s="16"/>
      <c r="Q246" s="16"/>
    </row>
    <row r="247">
      <c r="P247" s="16"/>
      <c r="Q247" s="16"/>
    </row>
    <row r="248">
      <c r="P248" s="16"/>
      <c r="Q248" s="16"/>
    </row>
    <row r="249">
      <c r="P249" s="16"/>
      <c r="Q249" s="16"/>
    </row>
    <row r="250">
      <c r="P250" s="16"/>
      <c r="Q250" s="16"/>
    </row>
    <row r="251">
      <c r="P251" s="16"/>
      <c r="Q251" s="16"/>
    </row>
    <row r="252">
      <c r="P252" s="16"/>
      <c r="Q252" s="16"/>
    </row>
    <row r="253">
      <c r="P253" s="16"/>
      <c r="Q253" s="16"/>
    </row>
    <row r="254">
      <c r="P254" s="16"/>
      <c r="Q254" s="16"/>
    </row>
    <row r="255">
      <c r="P255" s="16"/>
      <c r="Q255" s="16"/>
    </row>
    <row r="256">
      <c r="P256" s="16"/>
      <c r="Q256" s="16"/>
    </row>
    <row r="257">
      <c r="P257" s="16"/>
      <c r="Q257" s="16"/>
    </row>
    <row r="258">
      <c r="P258" s="16"/>
      <c r="Q258" s="16"/>
    </row>
    <row r="259">
      <c r="P259" s="16"/>
      <c r="Q259" s="16"/>
    </row>
    <row r="260">
      <c r="P260" s="16"/>
      <c r="Q260" s="16"/>
    </row>
    <row r="261">
      <c r="P261" s="16"/>
      <c r="Q261" s="16"/>
    </row>
    <row r="262">
      <c r="P262" s="16"/>
      <c r="Q262" s="16"/>
    </row>
    <row r="263">
      <c r="P263" s="16"/>
      <c r="Q263" s="16"/>
    </row>
    <row r="264">
      <c r="P264" s="16"/>
      <c r="Q264" s="16"/>
    </row>
    <row r="265">
      <c r="P265" s="16"/>
      <c r="Q265" s="16"/>
    </row>
    <row r="266">
      <c r="P266" s="16"/>
      <c r="Q266" s="16"/>
    </row>
    <row r="267">
      <c r="P267" s="16"/>
      <c r="Q267" s="16"/>
    </row>
    <row r="268">
      <c r="P268" s="16"/>
      <c r="Q268" s="16"/>
    </row>
    <row r="269">
      <c r="P269" s="16"/>
      <c r="Q269" s="16"/>
    </row>
    <row r="270">
      <c r="P270" s="16"/>
      <c r="Q270" s="16"/>
    </row>
    <row r="271">
      <c r="P271" s="16"/>
      <c r="Q271" s="16"/>
    </row>
    <row r="272">
      <c r="P272" s="16"/>
      <c r="Q272" s="16"/>
    </row>
    <row r="273">
      <c r="P273" s="16"/>
      <c r="Q273" s="16"/>
    </row>
    <row r="274">
      <c r="P274" s="16"/>
      <c r="Q274" s="16"/>
    </row>
    <row r="275">
      <c r="P275" s="16"/>
      <c r="Q275" s="16"/>
    </row>
    <row r="276">
      <c r="P276" s="16"/>
      <c r="Q276" s="16"/>
    </row>
    <row r="277">
      <c r="P277" s="16"/>
      <c r="Q277" s="16"/>
    </row>
    <row r="278">
      <c r="P278" s="16"/>
      <c r="Q278" s="16"/>
    </row>
    <row r="279">
      <c r="P279" s="16"/>
      <c r="Q279" s="16"/>
    </row>
    <row r="280">
      <c r="P280" s="16"/>
      <c r="Q280" s="16"/>
    </row>
    <row r="281">
      <c r="P281" s="16"/>
      <c r="Q281" s="16"/>
    </row>
    <row r="282">
      <c r="P282" s="16"/>
      <c r="Q282" s="16"/>
    </row>
    <row r="283">
      <c r="P283" s="16"/>
      <c r="Q283" s="16"/>
    </row>
    <row r="284">
      <c r="P284" s="16"/>
      <c r="Q284" s="16"/>
    </row>
    <row r="285">
      <c r="P285" s="16"/>
      <c r="Q285" s="16"/>
    </row>
    <row r="286">
      <c r="P286" s="16"/>
      <c r="Q286" s="16"/>
    </row>
    <row r="287">
      <c r="P287" s="16"/>
      <c r="Q287" s="16"/>
    </row>
    <row r="288">
      <c r="P288" s="16"/>
      <c r="Q288" s="16"/>
    </row>
    <row r="289">
      <c r="P289" s="16"/>
      <c r="Q289" s="16"/>
    </row>
    <row r="290">
      <c r="P290" s="16"/>
      <c r="Q290" s="16"/>
    </row>
    <row r="291">
      <c r="P291" s="16"/>
      <c r="Q291" s="16"/>
    </row>
    <row r="292">
      <c r="P292" s="16"/>
      <c r="Q292" s="16"/>
    </row>
    <row r="293">
      <c r="P293" s="16"/>
      <c r="Q293" s="16"/>
    </row>
    <row r="294">
      <c r="P294" s="16"/>
      <c r="Q294" s="16"/>
    </row>
    <row r="295">
      <c r="P295" s="16"/>
      <c r="Q295" s="16"/>
    </row>
    <row r="296">
      <c r="P296" s="16"/>
      <c r="Q296" s="16"/>
    </row>
    <row r="297">
      <c r="P297" s="16"/>
      <c r="Q297" s="16"/>
    </row>
    <row r="298">
      <c r="P298" s="16"/>
      <c r="Q298" s="16"/>
    </row>
    <row r="299">
      <c r="P299" s="16"/>
      <c r="Q299" s="16"/>
    </row>
    <row r="300">
      <c r="P300" s="16"/>
      <c r="Q300" s="16"/>
    </row>
    <row r="301">
      <c r="P301" s="16"/>
      <c r="Q301" s="16"/>
    </row>
    <row r="302">
      <c r="P302" s="16"/>
      <c r="Q302" s="16"/>
    </row>
    <row r="303">
      <c r="P303" s="16"/>
      <c r="Q303" s="16"/>
    </row>
    <row r="304">
      <c r="P304" s="16"/>
      <c r="Q304" s="16"/>
    </row>
    <row r="305">
      <c r="P305" s="16"/>
      <c r="Q305" s="16"/>
    </row>
    <row r="306">
      <c r="P306" s="16"/>
      <c r="Q306" s="16"/>
    </row>
    <row r="307">
      <c r="P307" s="16"/>
      <c r="Q307" s="16"/>
    </row>
    <row r="308">
      <c r="P308" s="16"/>
      <c r="Q308" s="16"/>
    </row>
    <row r="309">
      <c r="P309" s="16"/>
      <c r="Q309" s="16"/>
    </row>
    <row r="310">
      <c r="P310" s="16"/>
      <c r="Q310" s="16"/>
    </row>
    <row r="311">
      <c r="P311" s="16"/>
      <c r="Q311" s="16"/>
    </row>
    <row r="312">
      <c r="P312" s="16"/>
      <c r="Q312" s="16"/>
    </row>
    <row r="313">
      <c r="P313" s="16"/>
      <c r="Q313" s="16"/>
    </row>
    <row r="314">
      <c r="P314" s="16"/>
      <c r="Q314" s="16"/>
    </row>
    <row r="315">
      <c r="P315" s="16"/>
      <c r="Q315" s="16"/>
    </row>
    <row r="316">
      <c r="P316" s="16"/>
      <c r="Q316" s="16"/>
    </row>
    <row r="317">
      <c r="P317" s="16"/>
      <c r="Q317" s="16"/>
    </row>
    <row r="318">
      <c r="P318" s="16"/>
      <c r="Q318" s="16"/>
    </row>
    <row r="319">
      <c r="P319" s="16"/>
      <c r="Q319" s="16"/>
    </row>
    <row r="320">
      <c r="P320" s="16"/>
      <c r="Q320" s="16"/>
    </row>
    <row r="321">
      <c r="P321" s="16"/>
      <c r="Q321" s="16"/>
    </row>
    <row r="322">
      <c r="P322" s="16"/>
      <c r="Q322" s="16"/>
    </row>
    <row r="323">
      <c r="P323" s="16"/>
      <c r="Q323" s="16"/>
    </row>
    <row r="324">
      <c r="P324" s="16"/>
      <c r="Q324" s="16"/>
    </row>
    <row r="325">
      <c r="P325" s="16"/>
      <c r="Q325" s="16"/>
    </row>
    <row r="326">
      <c r="P326" s="16"/>
      <c r="Q326" s="16"/>
    </row>
    <row r="327">
      <c r="P327" s="16"/>
      <c r="Q327" s="16"/>
    </row>
    <row r="328">
      <c r="P328" s="16"/>
      <c r="Q328" s="16"/>
    </row>
    <row r="329">
      <c r="P329" s="16"/>
      <c r="Q329" s="16"/>
    </row>
    <row r="330">
      <c r="P330" s="16"/>
      <c r="Q330" s="16"/>
    </row>
    <row r="331">
      <c r="P331" s="16"/>
      <c r="Q331" s="16"/>
    </row>
    <row r="332">
      <c r="P332" s="16"/>
      <c r="Q332" s="16"/>
    </row>
    <row r="333">
      <c r="P333" s="16"/>
      <c r="Q333" s="16"/>
    </row>
    <row r="334">
      <c r="P334" s="16"/>
      <c r="Q334" s="16"/>
    </row>
    <row r="335">
      <c r="P335" s="16"/>
      <c r="Q335" s="16"/>
    </row>
    <row r="336">
      <c r="P336" s="16"/>
      <c r="Q336" s="16"/>
    </row>
    <row r="337">
      <c r="P337" s="16"/>
      <c r="Q337" s="16"/>
    </row>
    <row r="338">
      <c r="P338" s="16"/>
      <c r="Q338" s="16"/>
    </row>
    <row r="339">
      <c r="P339" s="16"/>
      <c r="Q339" s="16"/>
    </row>
    <row r="340">
      <c r="P340" s="16"/>
      <c r="Q340" s="16"/>
    </row>
    <row r="341">
      <c r="P341" s="16"/>
      <c r="Q341" s="16"/>
    </row>
    <row r="342">
      <c r="P342" s="16"/>
      <c r="Q342" s="16"/>
    </row>
    <row r="343">
      <c r="P343" s="16"/>
      <c r="Q343" s="16"/>
    </row>
    <row r="344">
      <c r="P344" s="16"/>
      <c r="Q344" s="16"/>
    </row>
    <row r="345">
      <c r="P345" s="16"/>
      <c r="Q345" s="16"/>
    </row>
    <row r="346">
      <c r="P346" s="16"/>
      <c r="Q346" s="16"/>
    </row>
    <row r="347">
      <c r="P347" s="16"/>
      <c r="Q347" s="16"/>
    </row>
    <row r="348">
      <c r="P348" s="16"/>
      <c r="Q348" s="16"/>
    </row>
    <row r="349">
      <c r="P349" s="16"/>
      <c r="Q349" s="16"/>
    </row>
    <row r="350">
      <c r="P350" s="16"/>
      <c r="Q350" s="16"/>
    </row>
    <row r="351">
      <c r="P351" s="16"/>
      <c r="Q351" s="16"/>
    </row>
    <row r="352">
      <c r="P352" s="16"/>
      <c r="Q352" s="16"/>
    </row>
    <row r="353">
      <c r="P353" s="16"/>
      <c r="Q353" s="16"/>
    </row>
    <row r="354">
      <c r="P354" s="16"/>
      <c r="Q354" s="16"/>
    </row>
    <row r="355">
      <c r="P355" s="16"/>
      <c r="Q355" s="16"/>
    </row>
    <row r="356">
      <c r="P356" s="16"/>
      <c r="Q356" s="16"/>
    </row>
    <row r="357">
      <c r="P357" s="16"/>
      <c r="Q357" s="16"/>
    </row>
    <row r="358">
      <c r="P358" s="16"/>
      <c r="Q358" s="16"/>
    </row>
    <row r="359">
      <c r="P359" s="16"/>
      <c r="Q359" s="16"/>
    </row>
    <row r="360">
      <c r="P360" s="16"/>
      <c r="Q360" s="16"/>
    </row>
    <row r="361">
      <c r="P361" s="16"/>
      <c r="Q361" s="16"/>
    </row>
    <row r="362">
      <c r="P362" s="16"/>
      <c r="Q362" s="16"/>
    </row>
    <row r="363">
      <c r="P363" s="16"/>
      <c r="Q363" s="16"/>
    </row>
    <row r="364">
      <c r="P364" s="16"/>
      <c r="Q364" s="16"/>
    </row>
    <row r="365">
      <c r="P365" s="16"/>
      <c r="Q365" s="16"/>
    </row>
    <row r="366">
      <c r="P366" s="16"/>
      <c r="Q366" s="16"/>
    </row>
    <row r="367">
      <c r="P367" s="16"/>
      <c r="Q367" s="16"/>
    </row>
    <row r="368">
      <c r="P368" s="16"/>
      <c r="Q368" s="16"/>
    </row>
    <row r="369">
      <c r="P369" s="16"/>
      <c r="Q369" s="16"/>
    </row>
    <row r="370">
      <c r="P370" s="16"/>
      <c r="Q370" s="16"/>
    </row>
    <row r="371">
      <c r="P371" s="16"/>
      <c r="Q371" s="16"/>
    </row>
    <row r="372">
      <c r="P372" s="16"/>
      <c r="Q372" s="16"/>
    </row>
    <row r="373">
      <c r="P373" s="16"/>
      <c r="Q373" s="16"/>
    </row>
    <row r="374">
      <c r="P374" s="16"/>
      <c r="Q374" s="16"/>
    </row>
    <row r="375">
      <c r="P375" s="16"/>
      <c r="Q375" s="16"/>
    </row>
    <row r="376">
      <c r="P376" s="16"/>
      <c r="Q376" s="16"/>
    </row>
    <row r="377">
      <c r="P377" s="16"/>
      <c r="Q377" s="16"/>
    </row>
    <row r="378">
      <c r="P378" s="16"/>
      <c r="Q378" s="16"/>
    </row>
    <row r="379">
      <c r="P379" s="16"/>
      <c r="Q379" s="16"/>
    </row>
    <row r="380">
      <c r="P380" s="16"/>
      <c r="Q380" s="16"/>
    </row>
    <row r="381">
      <c r="P381" s="16"/>
      <c r="Q381" s="16"/>
    </row>
    <row r="382">
      <c r="P382" s="16"/>
      <c r="Q382" s="16"/>
    </row>
    <row r="383">
      <c r="P383" s="16"/>
      <c r="Q383" s="16"/>
    </row>
    <row r="384">
      <c r="P384" s="16"/>
      <c r="Q384" s="16"/>
    </row>
    <row r="385">
      <c r="P385" s="16"/>
      <c r="Q385" s="16"/>
    </row>
    <row r="386">
      <c r="P386" s="16"/>
      <c r="Q386" s="16"/>
    </row>
    <row r="387">
      <c r="P387" s="16"/>
      <c r="Q387" s="16"/>
    </row>
    <row r="388">
      <c r="P388" s="16"/>
      <c r="Q388" s="16"/>
    </row>
    <row r="389">
      <c r="P389" s="16"/>
      <c r="Q389" s="16"/>
    </row>
    <row r="390">
      <c r="P390" s="16"/>
      <c r="Q390" s="16"/>
    </row>
    <row r="391">
      <c r="P391" s="16"/>
      <c r="Q391" s="16"/>
    </row>
    <row r="392">
      <c r="P392" s="16"/>
      <c r="Q392" s="16"/>
    </row>
    <row r="393">
      <c r="P393" s="16"/>
      <c r="Q393" s="16"/>
    </row>
    <row r="394">
      <c r="P394" s="16"/>
      <c r="Q394" s="16"/>
    </row>
    <row r="395">
      <c r="P395" s="16"/>
      <c r="Q395" s="16"/>
    </row>
    <row r="396">
      <c r="P396" s="16"/>
      <c r="Q396" s="16"/>
    </row>
    <row r="397">
      <c r="P397" s="16"/>
      <c r="Q397" s="16"/>
    </row>
    <row r="398">
      <c r="P398" s="16"/>
      <c r="Q398" s="16"/>
    </row>
    <row r="399">
      <c r="P399" s="16"/>
      <c r="Q399" s="16"/>
    </row>
    <row r="400">
      <c r="P400" s="16"/>
      <c r="Q400" s="16"/>
    </row>
    <row r="401">
      <c r="P401" s="16"/>
      <c r="Q401" s="16"/>
    </row>
    <row r="402">
      <c r="P402" s="16"/>
      <c r="Q402" s="16"/>
    </row>
    <row r="403">
      <c r="P403" s="16"/>
      <c r="Q403" s="16"/>
    </row>
    <row r="404">
      <c r="P404" s="16"/>
      <c r="Q404" s="16"/>
    </row>
    <row r="405">
      <c r="P405" s="16"/>
      <c r="Q405" s="16"/>
    </row>
    <row r="406">
      <c r="P406" s="16"/>
      <c r="Q406" s="16"/>
    </row>
    <row r="407">
      <c r="P407" s="16"/>
      <c r="Q407" s="16"/>
    </row>
    <row r="408">
      <c r="P408" s="16"/>
      <c r="Q408" s="16"/>
    </row>
    <row r="409">
      <c r="P409" s="16"/>
      <c r="Q409" s="16"/>
    </row>
    <row r="410">
      <c r="P410" s="16"/>
      <c r="Q410" s="16"/>
    </row>
    <row r="411">
      <c r="P411" s="16"/>
      <c r="Q411" s="16"/>
    </row>
    <row r="412">
      <c r="P412" s="16"/>
      <c r="Q412" s="16"/>
    </row>
    <row r="413">
      <c r="P413" s="16"/>
      <c r="Q413" s="16"/>
    </row>
    <row r="414">
      <c r="P414" s="16"/>
      <c r="Q414" s="16"/>
    </row>
    <row r="415">
      <c r="P415" s="16"/>
      <c r="Q415" s="16"/>
    </row>
    <row r="416">
      <c r="P416" s="16"/>
      <c r="Q416" s="16"/>
    </row>
    <row r="417">
      <c r="P417" s="16"/>
      <c r="Q417" s="16"/>
    </row>
    <row r="418">
      <c r="P418" s="16"/>
      <c r="Q418" s="16"/>
    </row>
    <row r="419">
      <c r="P419" s="16"/>
      <c r="Q419" s="16"/>
    </row>
    <row r="420">
      <c r="P420" s="16"/>
      <c r="Q420" s="16"/>
    </row>
    <row r="421">
      <c r="P421" s="16"/>
      <c r="Q421" s="16"/>
    </row>
    <row r="422">
      <c r="P422" s="16"/>
      <c r="Q422" s="16"/>
    </row>
    <row r="423">
      <c r="P423" s="16"/>
      <c r="Q423" s="16"/>
    </row>
    <row r="424">
      <c r="P424" s="16"/>
      <c r="Q424" s="16"/>
    </row>
    <row r="425">
      <c r="P425" s="16"/>
      <c r="Q425" s="16"/>
    </row>
    <row r="426">
      <c r="P426" s="16"/>
      <c r="Q426" s="16"/>
    </row>
    <row r="427">
      <c r="P427" s="16"/>
      <c r="Q427" s="16"/>
    </row>
    <row r="428">
      <c r="P428" s="16"/>
      <c r="Q428" s="16"/>
    </row>
    <row r="429">
      <c r="P429" s="16"/>
      <c r="Q429" s="16"/>
    </row>
    <row r="430">
      <c r="P430" s="16"/>
      <c r="Q430" s="16"/>
    </row>
    <row r="431">
      <c r="P431" s="16"/>
      <c r="Q431" s="16"/>
    </row>
    <row r="432">
      <c r="P432" s="16"/>
      <c r="Q432" s="16"/>
    </row>
    <row r="433">
      <c r="P433" s="16"/>
      <c r="Q433" s="16"/>
    </row>
    <row r="434">
      <c r="P434" s="16"/>
      <c r="Q434" s="16"/>
    </row>
    <row r="435">
      <c r="P435" s="16"/>
      <c r="Q435" s="16"/>
    </row>
    <row r="436">
      <c r="P436" s="16"/>
      <c r="Q436" s="16"/>
    </row>
    <row r="437">
      <c r="P437" s="16"/>
      <c r="Q437" s="16"/>
    </row>
    <row r="438">
      <c r="P438" s="16"/>
      <c r="Q438" s="16"/>
    </row>
    <row r="439">
      <c r="P439" s="16"/>
      <c r="Q439" s="16"/>
    </row>
    <row r="440">
      <c r="P440" s="16"/>
      <c r="Q440" s="16"/>
    </row>
    <row r="441">
      <c r="P441" s="16"/>
      <c r="Q441" s="16"/>
    </row>
    <row r="442">
      <c r="P442" s="16"/>
      <c r="Q442" s="16"/>
    </row>
    <row r="443">
      <c r="P443" s="16"/>
      <c r="Q443" s="16"/>
    </row>
    <row r="444">
      <c r="P444" s="16"/>
      <c r="Q444" s="16"/>
    </row>
    <row r="445">
      <c r="P445" s="16"/>
      <c r="Q445" s="16"/>
    </row>
    <row r="446">
      <c r="P446" s="16"/>
      <c r="Q446" s="16"/>
    </row>
    <row r="447">
      <c r="P447" s="16"/>
      <c r="Q447" s="16"/>
    </row>
    <row r="448">
      <c r="P448" s="16"/>
      <c r="Q448" s="16"/>
    </row>
    <row r="449">
      <c r="P449" s="16"/>
      <c r="Q449" s="16"/>
    </row>
    <row r="450">
      <c r="P450" s="16"/>
      <c r="Q450" s="16"/>
    </row>
    <row r="451">
      <c r="P451" s="16"/>
      <c r="Q451" s="16"/>
    </row>
    <row r="452">
      <c r="P452" s="16"/>
      <c r="Q452" s="16"/>
    </row>
    <row r="453">
      <c r="P453" s="16"/>
      <c r="Q453" s="16"/>
    </row>
    <row r="454">
      <c r="P454" s="16"/>
      <c r="Q454" s="16"/>
    </row>
    <row r="455">
      <c r="P455" s="16"/>
      <c r="Q455" s="16"/>
    </row>
    <row r="456">
      <c r="P456" s="16"/>
      <c r="Q456" s="16"/>
    </row>
    <row r="457">
      <c r="P457" s="16"/>
      <c r="Q457" s="16"/>
    </row>
    <row r="458">
      <c r="P458" s="16"/>
      <c r="Q458" s="16"/>
    </row>
    <row r="459">
      <c r="P459" s="16"/>
      <c r="Q459" s="16"/>
    </row>
    <row r="460">
      <c r="P460" s="16"/>
      <c r="Q460" s="16"/>
    </row>
    <row r="461">
      <c r="P461" s="16"/>
      <c r="Q461" s="16"/>
    </row>
    <row r="462">
      <c r="P462" s="16"/>
      <c r="Q462" s="16"/>
    </row>
    <row r="463">
      <c r="P463" s="16"/>
      <c r="Q463" s="16"/>
    </row>
    <row r="464">
      <c r="P464" s="16"/>
      <c r="Q464" s="16"/>
    </row>
    <row r="465">
      <c r="P465" s="16"/>
      <c r="Q465" s="16"/>
    </row>
    <row r="466">
      <c r="P466" s="16"/>
      <c r="Q466" s="16"/>
    </row>
    <row r="467">
      <c r="P467" s="16"/>
      <c r="Q467" s="16"/>
    </row>
    <row r="468">
      <c r="P468" s="16"/>
      <c r="Q468" s="16"/>
    </row>
    <row r="469">
      <c r="P469" s="16"/>
      <c r="Q469" s="16"/>
    </row>
    <row r="470">
      <c r="P470" s="16"/>
      <c r="Q470" s="16"/>
    </row>
    <row r="471">
      <c r="P471" s="16"/>
      <c r="Q471" s="16"/>
    </row>
    <row r="472">
      <c r="P472" s="16"/>
      <c r="Q472" s="16"/>
    </row>
    <row r="473">
      <c r="P473" s="16"/>
      <c r="Q473" s="16"/>
    </row>
    <row r="474">
      <c r="P474" s="16"/>
      <c r="Q474" s="16"/>
    </row>
    <row r="475">
      <c r="P475" s="16"/>
      <c r="Q475" s="16"/>
    </row>
    <row r="476">
      <c r="P476" s="16"/>
      <c r="Q476" s="16"/>
    </row>
    <row r="477">
      <c r="P477" s="16"/>
      <c r="Q477" s="16"/>
    </row>
    <row r="478">
      <c r="P478" s="16"/>
      <c r="Q478" s="16"/>
    </row>
    <row r="479">
      <c r="P479" s="16"/>
      <c r="Q479" s="16"/>
    </row>
    <row r="480">
      <c r="P480" s="16"/>
      <c r="Q480" s="16"/>
    </row>
    <row r="481">
      <c r="P481" s="16"/>
      <c r="Q481" s="16"/>
    </row>
    <row r="482">
      <c r="P482" s="16"/>
      <c r="Q482" s="16"/>
    </row>
    <row r="483">
      <c r="P483" s="16"/>
      <c r="Q483" s="16"/>
    </row>
    <row r="484">
      <c r="P484" s="16"/>
      <c r="Q484" s="16"/>
    </row>
    <row r="485">
      <c r="P485" s="16"/>
      <c r="Q485" s="16"/>
    </row>
    <row r="486">
      <c r="P486" s="16"/>
      <c r="Q486" s="16"/>
    </row>
    <row r="487">
      <c r="P487" s="16"/>
      <c r="Q487" s="16"/>
    </row>
    <row r="488">
      <c r="P488" s="16"/>
      <c r="Q488" s="16"/>
    </row>
    <row r="489">
      <c r="P489" s="16"/>
      <c r="Q489" s="16"/>
    </row>
    <row r="490">
      <c r="P490" s="16"/>
      <c r="Q490" s="16"/>
    </row>
    <row r="491">
      <c r="P491" s="16"/>
      <c r="Q491" s="16"/>
    </row>
    <row r="492">
      <c r="P492" s="16"/>
      <c r="Q492" s="16"/>
    </row>
    <row r="493">
      <c r="P493" s="16"/>
      <c r="Q493" s="16"/>
    </row>
    <row r="494">
      <c r="P494" s="16"/>
      <c r="Q494" s="16"/>
    </row>
    <row r="495">
      <c r="P495" s="16"/>
      <c r="Q495" s="16"/>
    </row>
    <row r="496">
      <c r="P496" s="16"/>
      <c r="Q496" s="16"/>
    </row>
    <row r="497">
      <c r="P497" s="16"/>
      <c r="Q497" s="16"/>
    </row>
    <row r="498">
      <c r="P498" s="16"/>
      <c r="Q498" s="16"/>
    </row>
    <row r="499">
      <c r="P499" s="16"/>
      <c r="Q499" s="16"/>
    </row>
    <row r="500">
      <c r="P500" s="16"/>
      <c r="Q500" s="16"/>
    </row>
    <row r="501">
      <c r="P501" s="16"/>
      <c r="Q501" s="16"/>
    </row>
    <row r="502">
      <c r="P502" s="16"/>
      <c r="Q502" s="16"/>
    </row>
    <row r="503">
      <c r="P503" s="16"/>
      <c r="Q503" s="16"/>
    </row>
    <row r="504">
      <c r="P504" s="16"/>
      <c r="Q504" s="16"/>
    </row>
    <row r="505">
      <c r="P505" s="16"/>
      <c r="Q505" s="16"/>
    </row>
    <row r="506">
      <c r="P506" s="16"/>
      <c r="Q506" s="16"/>
    </row>
    <row r="507">
      <c r="P507" s="16"/>
      <c r="Q507" s="16"/>
    </row>
    <row r="508">
      <c r="P508" s="16"/>
      <c r="Q508" s="16"/>
    </row>
    <row r="509">
      <c r="P509" s="16"/>
      <c r="Q509" s="16"/>
    </row>
    <row r="510">
      <c r="P510" s="16"/>
      <c r="Q510" s="16"/>
    </row>
    <row r="511">
      <c r="P511" s="16"/>
      <c r="Q511" s="16"/>
    </row>
    <row r="512">
      <c r="P512" s="16"/>
      <c r="Q512" s="16"/>
    </row>
    <row r="513">
      <c r="P513" s="16"/>
      <c r="Q513" s="16"/>
    </row>
    <row r="514">
      <c r="P514" s="16"/>
      <c r="Q514" s="16"/>
    </row>
    <row r="515">
      <c r="P515" s="16"/>
      <c r="Q515" s="16"/>
    </row>
    <row r="516">
      <c r="P516" s="16"/>
      <c r="Q516" s="16"/>
    </row>
    <row r="517">
      <c r="P517" s="16"/>
      <c r="Q517" s="16"/>
    </row>
    <row r="518">
      <c r="P518" s="16"/>
      <c r="Q518" s="16"/>
    </row>
    <row r="519">
      <c r="P519" s="16"/>
      <c r="Q519" s="16"/>
    </row>
    <row r="520">
      <c r="P520" s="16"/>
      <c r="Q520" s="16"/>
    </row>
    <row r="521">
      <c r="P521" s="16"/>
      <c r="Q521" s="16"/>
    </row>
    <row r="522">
      <c r="P522" s="16"/>
      <c r="Q522" s="16"/>
    </row>
    <row r="523">
      <c r="P523" s="16"/>
      <c r="Q523" s="16"/>
    </row>
    <row r="524">
      <c r="P524" s="16"/>
      <c r="Q524" s="16"/>
    </row>
    <row r="525">
      <c r="P525" s="16"/>
      <c r="Q525" s="16"/>
    </row>
    <row r="526">
      <c r="P526" s="16"/>
      <c r="Q526" s="16"/>
    </row>
    <row r="527">
      <c r="P527" s="16"/>
      <c r="Q527" s="16"/>
    </row>
    <row r="528">
      <c r="P528" s="16"/>
      <c r="Q528" s="16"/>
    </row>
    <row r="529">
      <c r="P529" s="16"/>
      <c r="Q529" s="16"/>
    </row>
    <row r="530">
      <c r="P530" s="16"/>
      <c r="Q530" s="16"/>
    </row>
    <row r="531">
      <c r="P531" s="16"/>
      <c r="Q531" s="16"/>
    </row>
    <row r="532">
      <c r="P532" s="16"/>
      <c r="Q532" s="16"/>
    </row>
    <row r="533">
      <c r="P533" s="16"/>
      <c r="Q533" s="16"/>
    </row>
    <row r="534">
      <c r="P534" s="16"/>
      <c r="Q534" s="16"/>
    </row>
    <row r="535">
      <c r="P535" s="16"/>
      <c r="Q535" s="16"/>
    </row>
    <row r="536">
      <c r="P536" s="16"/>
      <c r="Q536" s="16"/>
    </row>
    <row r="537">
      <c r="P537" s="16"/>
      <c r="Q537" s="16"/>
    </row>
    <row r="538">
      <c r="P538" s="16"/>
      <c r="Q538" s="16"/>
    </row>
    <row r="539">
      <c r="P539" s="16"/>
      <c r="Q539" s="16"/>
    </row>
    <row r="540">
      <c r="P540" s="16"/>
      <c r="Q540" s="16"/>
    </row>
    <row r="541">
      <c r="P541" s="16"/>
      <c r="Q541" s="16"/>
    </row>
    <row r="542">
      <c r="P542" s="16"/>
      <c r="Q542" s="16"/>
    </row>
    <row r="543">
      <c r="P543" s="16"/>
      <c r="Q543" s="16"/>
    </row>
    <row r="544">
      <c r="P544" s="16"/>
      <c r="Q544" s="16"/>
    </row>
    <row r="545">
      <c r="P545" s="16"/>
      <c r="Q545" s="16"/>
    </row>
    <row r="546">
      <c r="P546" s="16"/>
      <c r="Q546" s="16"/>
    </row>
    <row r="547">
      <c r="P547" s="16"/>
      <c r="Q547" s="16"/>
    </row>
    <row r="548">
      <c r="P548" s="16"/>
      <c r="Q548" s="16"/>
    </row>
    <row r="549">
      <c r="P549" s="16"/>
      <c r="Q549" s="16"/>
    </row>
    <row r="550">
      <c r="P550" s="16"/>
      <c r="Q550" s="16"/>
    </row>
    <row r="551">
      <c r="P551" s="16"/>
      <c r="Q551" s="16"/>
    </row>
    <row r="552">
      <c r="P552" s="16"/>
      <c r="Q552" s="16"/>
    </row>
    <row r="553">
      <c r="P553" s="16"/>
      <c r="Q553" s="16"/>
    </row>
    <row r="554">
      <c r="P554" s="16"/>
      <c r="Q554" s="16"/>
    </row>
    <row r="555">
      <c r="P555" s="16"/>
      <c r="Q555" s="16"/>
    </row>
    <row r="556">
      <c r="P556" s="16"/>
      <c r="Q556" s="16"/>
    </row>
    <row r="557">
      <c r="P557" s="16"/>
      <c r="Q557" s="16"/>
    </row>
    <row r="558">
      <c r="P558" s="16"/>
      <c r="Q558" s="16"/>
    </row>
    <row r="559">
      <c r="P559" s="16"/>
      <c r="Q559" s="16"/>
    </row>
    <row r="560">
      <c r="P560" s="16"/>
      <c r="Q560" s="16"/>
    </row>
    <row r="561">
      <c r="P561" s="16"/>
      <c r="Q561" s="16"/>
    </row>
    <row r="562">
      <c r="P562" s="16"/>
      <c r="Q562" s="16"/>
    </row>
    <row r="563">
      <c r="P563" s="16"/>
      <c r="Q563" s="16"/>
    </row>
    <row r="564">
      <c r="P564" s="16"/>
      <c r="Q564" s="16"/>
    </row>
    <row r="565">
      <c r="P565" s="16"/>
      <c r="Q565" s="16"/>
    </row>
    <row r="566">
      <c r="P566" s="16"/>
      <c r="Q566" s="16"/>
    </row>
    <row r="567">
      <c r="P567" s="16"/>
      <c r="Q567" s="16"/>
    </row>
    <row r="568">
      <c r="P568" s="16"/>
      <c r="Q568" s="16"/>
    </row>
    <row r="569">
      <c r="P569" s="16"/>
      <c r="Q569" s="16"/>
    </row>
    <row r="570">
      <c r="P570" s="16"/>
      <c r="Q570" s="16"/>
    </row>
    <row r="571">
      <c r="P571" s="16"/>
      <c r="Q571" s="16"/>
    </row>
    <row r="572">
      <c r="P572" s="16"/>
      <c r="Q572" s="16"/>
    </row>
    <row r="573">
      <c r="P573" s="16"/>
      <c r="Q573" s="16"/>
    </row>
    <row r="574">
      <c r="P574" s="16"/>
      <c r="Q574" s="16"/>
    </row>
    <row r="575">
      <c r="P575" s="16"/>
      <c r="Q575" s="16"/>
    </row>
    <row r="576">
      <c r="P576" s="16"/>
      <c r="Q576" s="16"/>
    </row>
    <row r="577">
      <c r="P577" s="16"/>
      <c r="Q577" s="16"/>
    </row>
    <row r="578">
      <c r="P578" s="16"/>
      <c r="Q578" s="16"/>
    </row>
    <row r="579">
      <c r="P579" s="16"/>
      <c r="Q579" s="16"/>
    </row>
    <row r="580">
      <c r="P580" s="16"/>
      <c r="Q580" s="16"/>
    </row>
    <row r="581">
      <c r="P581" s="16"/>
      <c r="Q581" s="16"/>
    </row>
    <row r="582">
      <c r="P582" s="16"/>
      <c r="Q582" s="16"/>
    </row>
    <row r="583">
      <c r="P583" s="16"/>
      <c r="Q583" s="16"/>
    </row>
    <row r="584">
      <c r="P584" s="16"/>
      <c r="Q584" s="16"/>
    </row>
    <row r="585">
      <c r="P585" s="16"/>
      <c r="Q585" s="16"/>
    </row>
    <row r="586">
      <c r="P586" s="16"/>
      <c r="Q586" s="16"/>
    </row>
    <row r="587">
      <c r="P587" s="16"/>
      <c r="Q587" s="16"/>
    </row>
    <row r="588">
      <c r="P588" s="16"/>
      <c r="Q588" s="16"/>
    </row>
    <row r="589">
      <c r="P589" s="16"/>
      <c r="Q589" s="16"/>
    </row>
    <row r="590">
      <c r="P590" s="16"/>
      <c r="Q590" s="16"/>
    </row>
    <row r="591">
      <c r="P591" s="16"/>
      <c r="Q591" s="16"/>
    </row>
    <row r="592">
      <c r="P592" s="16"/>
      <c r="Q592" s="16"/>
    </row>
    <row r="593">
      <c r="P593" s="16"/>
      <c r="Q593" s="16"/>
    </row>
    <row r="594">
      <c r="P594" s="16"/>
      <c r="Q594" s="16"/>
    </row>
    <row r="595">
      <c r="P595" s="16"/>
      <c r="Q595" s="16"/>
    </row>
    <row r="596">
      <c r="P596" s="16"/>
      <c r="Q596" s="16"/>
    </row>
    <row r="597">
      <c r="P597" s="16"/>
      <c r="Q597" s="16"/>
    </row>
    <row r="598">
      <c r="P598" s="16"/>
      <c r="Q598" s="16"/>
    </row>
    <row r="599">
      <c r="P599" s="16"/>
      <c r="Q599" s="16"/>
    </row>
    <row r="600">
      <c r="P600" s="16"/>
      <c r="Q600" s="16"/>
    </row>
    <row r="601">
      <c r="P601" s="16"/>
      <c r="Q601" s="16"/>
    </row>
    <row r="602">
      <c r="P602" s="16"/>
      <c r="Q602" s="16"/>
    </row>
    <row r="603">
      <c r="P603" s="16"/>
      <c r="Q603" s="16"/>
    </row>
    <row r="604">
      <c r="P604" s="16"/>
      <c r="Q604" s="16"/>
    </row>
    <row r="605">
      <c r="P605" s="16"/>
      <c r="Q605" s="16"/>
    </row>
    <row r="606">
      <c r="P606" s="16"/>
      <c r="Q606" s="16"/>
    </row>
    <row r="607">
      <c r="P607" s="16"/>
      <c r="Q607" s="16"/>
    </row>
    <row r="608">
      <c r="P608" s="16"/>
      <c r="Q608" s="16"/>
    </row>
    <row r="609">
      <c r="P609" s="16"/>
      <c r="Q609" s="16"/>
    </row>
    <row r="610">
      <c r="P610" s="16"/>
      <c r="Q610" s="16"/>
    </row>
    <row r="611">
      <c r="P611" s="16"/>
      <c r="Q611" s="16"/>
    </row>
    <row r="612">
      <c r="P612" s="16"/>
      <c r="Q612" s="16"/>
    </row>
    <row r="613">
      <c r="P613" s="16"/>
      <c r="Q613" s="16"/>
    </row>
    <row r="614">
      <c r="P614" s="16"/>
      <c r="Q614" s="16"/>
    </row>
    <row r="615">
      <c r="P615" s="16"/>
      <c r="Q615" s="16"/>
    </row>
    <row r="616">
      <c r="P616" s="16"/>
      <c r="Q616" s="16"/>
    </row>
    <row r="617">
      <c r="P617" s="16"/>
      <c r="Q617" s="16"/>
    </row>
    <row r="618">
      <c r="P618" s="16"/>
      <c r="Q618" s="16"/>
    </row>
    <row r="619">
      <c r="P619" s="16"/>
      <c r="Q619" s="16"/>
    </row>
    <row r="620">
      <c r="P620" s="16"/>
      <c r="Q620" s="16"/>
    </row>
    <row r="621">
      <c r="P621" s="16"/>
      <c r="Q621" s="16"/>
    </row>
    <row r="622">
      <c r="P622" s="16"/>
      <c r="Q622" s="16"/>
    </row>
    <row r="623">
      <c r="P623" s="16"/>
      <c r="Q623" s="16"/>
    </row>
    <row r="624">
      <c r="P624" s="16"/>
      <c r="Q624" s="16"/>
    </row>
    <row r="625">
      <c r="P625" s="16"/>
      <c r="Q625" s="16"/>
    </row>
    <row r="626">
      <c r="P626" s="16"/>
      <c r="Q626" s="16"/>
    </row>
    <row r="627">
      <c r="P627" s="16"/>
      <c r="Q627" s="16"/>
    </row>
    <row r="628">
      <c r="P628" s="16"/>
      <c r="Q628" s="16"/>
    </row>
    <row r="629">
      <c r="P629" s="16"/>
      <c r="Q629" s="16"/>
    </row>
    <row r="630">
      <c r="P630" s="16"/>
      <c r="Q630" s="16"/>
    </row>
    <row r="631">
      <c r="P631" s="16"/>
      <c r="Q631" s="16"/>
    </row>
    <row r="632">
      <c r="P632" s="16"/>
      <c r="Q632" s="16"/>
    </row>
    <row r="633">
      <c r="P633" s="16"/>
      <c r="Q633" s="16"/>
    </row>
    <row r="634">
      <c r="P634" s="16"/>
      <c r="Q634" s="16"/>
    </row>
    <row r="635">
      <c r="P635" s="16"/>
      <c r="Q635" s="16"/>
    </row>
    <row r="636">
      <c r="P636" s="16"/>
      <c r="Q636" s="16"/>
    </row>
    <row r="637">
      <c r="P637" s="16"/>
      <c r="Q637" s="16"/>
    </row>
    <row r="638">
      <c r="P638" s="16"/>
      <c r="Q638" s="16"/>
    </row>
    <row r="639">
      <c r="P639" s="16"/>
      <c r="Q639" s="16"/>
    </row>
    <row r="640">
      <c r="P640" s="16"/>
      <c r="Q640" s="16"/>
    </row>
    <row r="641">
      <c r="P641" s="16"/>
      <c r="Q641" s="16"/>
    </row>
    <row r="642">
      <c r="P642" s="16"/>
      <c r="Q642" s="16"/>
    </row>
    <row r="643">
      <c r="P643" s="16"/>
      <c r="Q643" s="16"/>
    </row>
    <row r="644">
      <c r="P644" s="16"/>
      <c r="Q644" s="16"/>
    </row>
    <row r="645">
      <c r="P645" s="16"/>
      <c r="Q645" s="16"/>
    </row>
    <row r="646">
      <c r="P646" s="16"/>
      <c r="Q646" s="16"/>
    </row>
    <row r="647">
      <c r="P647" s="16"/>
      <c r="Q647" s="16"/>
    </row>
    <row r="648">
      <c r="P648" s="16"/>
      <c r="Q648" s="16"/>
    </row>
    <row r="649">
      <c r="P649" s="16"/>
      <c r="Q649" s="16"/>
    </row>
    <row r="650">
      <c r="P650" s="16"/>
      <c r="Q650" s="16"/>
    </row>
    <row r="651">
      <c r="P651" s="16"/>
      <c r="Q651" s="16"/>
    </row>
    <row r="652">
      <c r="P652" s="16"/>
      <c r="Q652" s="16"/>
    </row>
    <row r="653">
      <c r="P653" s="16"/>
      <c r="Q653" s="16"/>
    </row>
    <row r="654">
      <c r="P654" s="16"/>
      <c r="Q654" s="16"/>
    </row>
    <row r="655">
      <c r="P655" s="16"/>
      <c r="Q655" s="16"/>
    </row>
    <row r="656">
      <c r="P656" s="16"/>
      <c r="Q656" s="16"/>
    </row>
    <row r="657">
      <c r="P657" s="16"/>
      <c r="Q657" s="16"/>
    </row>
    <row r="658">
      <c r="P658" s="16"/>
      <c r="Q658" s="16"/>
    </row>
    <row r="659">
      <c r="P659" s="16"/>
      <c r="Q659" s="16"/>
    </row>
    <row r="660">
      <c r="P660" s="16"/>
      <c r="Q660" s="16"/>
    </row>
    <row r="661">
      <c r="P661" s="16"/>
      <c r="Q661" s="16"/>
    </row>
    <row r="662">
      <c r="P662" s="16"/>
      <c r="Q662" s="16"/>
    </row>
    <row r="663">
      <c r="P663" s="16"/>
      <c r="Q663" s="16"/>
    </row>
    <row r="664">
      <c r="P664" s="16"/>
      <c r="Q664" s="16"/>
    </row>
    <row r="665">
      <c r="P665" s="16"/>
      <c r="Q665" s="16"/>
    </row>
    <row r="666">
      <c r="P666" s="16"/>
      <c r="Q666" s="16"/>
    </row>
    <row r="667">
      <c r="P667" s="16"/>
      <c r="Q667" s="16"/>
    </row>
    <row r="668">
      <c r="P668" s="16"/>
      <c r="Q668" s="16"/>
    </row>
    <row r="669">
      <c r="P669" s="16"/>
      <c r="Q669" s="16"/>
    </row>
    <row r="670">
      <c r="P670" s="16"/>
      <c r="Q670" s="16"/>
    </row>
    <row r="671">
      <c r="P671" s="16"/>
      <c r="Q671" s="16"/>
    </row>
    <row r="672">
      <c r="P672" s="16"/>
      <c r="Q672" s="16"/>
    </row>
    <row r="673">
      <c r="P673" s="16"/>
      <c r="Q673" s="16"/>
    </row>
    <row r="674">
      <c r="P674" s="16"/>
      <c r="Q674" s="16"/>
    </row>
    <row r="675">
      <c r="P675" s="16"/>
      <c r="Q675" s="16"/>
    </row>
    <row r="676">
      <c r="P676" s="16"/>
      <c r="Q676" s="16"/>
    </row>
    <row r="677">
      <c r="P677" s="16"/>
      <c r="Q677" s="16"/>
    </row>
    <row r="678">
      <c r="P678" s="16"/>
      <c r="Q678" s="16"/>
    </row>
    <row r="679">
      <c r="P679" s="16"/>
      <c r="Q679" s="16"/>
    </row>
    <row r="680">
      <c r="P680" s="16"/>
      <c r="Q680" s="16"/>
    </row>
    <row r="681">
      <c r="P681" s="16"/>
      <c r="Q681" s="16"/>
    </row>
    <row r="682">
      <c r="P682" s="16"/>
      <c r="Q682" s="16"/>
    </row>
    <row r="683">
      <c r="P683" s="16"/>
      <c r="Q683" s="16"/>
    </row>
    <row r="684">
      <c r="P684" s="16"/>
      <c r="Q684" s="16"/>
    </row>
    <row r="685">
      <c r="P685" s="16"/>
      <c r="Q685" s="16"/>
    </row>
    <row r="686">
      <c r="P686" s="16"/>
      <c r="Q686" s="16"/>
    </row>
    <row r="687">
      <c r="P687" s="16"/>
      <c r="Q687" s="16"/>
    </row>
    <row r="688">
      <c r="P688" s="16"/>
      <c r="Q688" s="16"/>
    </row>
    <row r="689">
      <c r="P689" s="16"/>
      <c r="Q689" s="16"/>
    </row>
    <row r="690">
      <c r="P690" s="16"/>
      <c r="Q690" s="16"/>
    </row>
    <row r="691">
      <c r="P691" s="16"/>
      <c r="Q691" s="16"/>
    </row>
    <row r="692">
      <c r="P692" s="16"/>
      <c r="Q692" s="16"/>
    </row>
    <row r="693">
      <c r="P693" s="16"/>
      <c r="Q693" s="16"/>
    </row>
    <row r="694">
      <c r="P694" s="16"/>
      <c r="Q694" s="16"/>
    </row>
    <row r="695">
      <c r="P695" s="16"/>
      <c r="Q695" s="16"/>
    </row>
    <row r="696">
      <c r="P696" s="16"/>
      <c r="Q696" s="16"/>
    </row>
    <row r="697">
      <c r="P697" s="16"/>
      <c r="Q697" s="16"/>
    </row>
    <row r="698">
      <c r="P698" s="16"/>
      <c r="Q698" s="16"/>
    </row>
    <row r="699">
      <c r="P699" s="16"/>
      <c r="Q699" s="16"/>
    </row>
    <row r="700">
      <c r="P700" s="16"/>
      <c r="Q700" s="16"/>
    </row>
    <row r="701">
      <c r="P701" s="16"/>
      <c r="Q701" s="16"/>
    </row>
    <row r="702">
      <c r="P702" s="16"/>
      <c r="Q702" s="16"/>
    </row>
    <row r="703">
      <c r="P703" s="16"/>
      <c r="Q703" s="16"/>
    </row>
    <row r="704">
      <c r="P704" s="16"/>
      <c r="Q704" s="16"/>
    </row>
    <row r="705">
      <c r="P705" s="16"/>
      <c r="Q705" s="16"/>
    </row>
    <row r="706">
      <c r="P706" s="16"/>
      <c r="Q706" s="16"/>
    </row>
    <row r="707">
      <c r="P707" s="16"/>
      <c r="Q707" s="16"/>
    </row>
    <row r="708">
      <c r="P708" s="16"/>
      <c r="Q708" s="16"/>
    </row>
    <row r="709">
      <c r="P709" s="16"/>
      <c r="Q709" s="16"/>
    </row>
    <row r="710">
      <c r="P710" s="16"/>
      <c r="Q710" s="16"/>
    </row>
    <row r="711">
      <c r="P711" s="16"/>
      <c r="Q711" s="16"/>
    </row>
    <row r="712">
      <c r="P712" s="16"/>
      <c r="Q712" s="16"/>
    </row>
    <row r="713">
      <c r="P713" s="16"/>
      <c r="Q713" s="16"/>
    </row>
    <row r="714">
      <c r="P714" s="16"/>
      <c r="Q714" s="16"/>
    </row>
    <row r="715">
      <c r="P715" s="16"/>
      <c r="Q715" s="16"/>
    </row>
    <row r="716">
      <c r="P716" s="16"/>
      <c r="Q716" s="16"/>
    </row>
    <row r="717">
      <c r="P717" s="16"/>
      <c r="Q717" s="16"/>
    </row>
    <row r="718">
      <c r="P718" s="16"/>
      <c r="Q718" s="16"/>
    </row>
    <row r="719">
      <c r="P719" s="16"/>
      <c r="Q719" s="16"/>
    </row>
    <row r="720">
      <c r="P720" s="16"/>
      <c r="Q720" s="16"/>
    </row>
    <row r="721">
      <c r="P721" s="16"/>
      <c r="Q721" s="16"/>
    </row>
    <row r="722">
      <c r="P722" s="16"/>
      <c r="Q722" s="16"/>
    </row>
    <row r="723">
      <c r="P723" s="16"/>
      <c r="Q723" s="16"/>
    </row>
    <row r="724">
      <c r="P724" s="16"/>
      <c r="Q724" s="16"/>
    </row>
    <row r="725">
      <c r="P725" s="16"/>
      <c r="Q725" s="16"/>
    </row>
    <row r="726">
      <c r="P726" s="16"/>
      <c r="Q726" s="16"/>
    </row>
    <row r="727">
      <c r="P727" s="16"/>
      <c r="Q727" s="16"/>
    </row>
    <row r="728">
      <c r="P728" s="16"/>
      <c r="Q728" s="16"/>
    </row>
    <row r="729">
      <c r="P729" s="16"/>
      <c r="Q729" s="16"/>
    </row>
    <row r="730">
      <c r="P730" s="16"/>
      <c r="Q730" s="16"/>
    </row>
    <row r="731">
      <c r="P731" s="16"/>
      <c r="Q731" s="16"/>
    </row>
    <row r="732">
      <c r="P732" s="16"/>
      <c r="Q732" s="16"/>
    </row>
    <row r="733">
      <c r="P733" s="16"/>
      <c r="Q733" s="16"/>
    </row>
    <row r="734">
      <c r="P734" s="16"/>
      <c r="Q734" s="16"/>
    </row>
    <row r="735">
      <c r="P735" s="16"/>
      <c r="Q735" s="16"/>
    </row>
    <row r="736">
      <c r="P736" s="16"/>
      <c r="Q736" s="16"/>
    </row>
    <row r="737">
      <c r="P737" s="16"/>
      <c r="Q737" s="16"/>
    </row>
    <row r="738">
      <c r="P738" s="16"/>
      <c r="Q738" s="16"/>
    </row>
    <row r="739">
      <c r="P739" s="16"/>
      <c r="Q739" s="16"/>
    </row>
    <row r="740">
      <c r="P740" s="16"/>
      <c r="Q740" s="16"/>
    </row>
    <row r="741">
      <c r="P741" s="16"/>
      <c r="Q741" s="16"/>
    </row>
    <row r="742">
      <c r="P742" s="16"/>
      <c r="Q742" s="16"/>
    </row>
    <row r="743">
      <c r="P743" s="16"/>
      <c r="Q743" s="16"/>
    </row>
    <row r="744">
      <c r="P744" s="16"/>
      <c r="Q744" s="16"/>
    </row>
    <row r="745">
      <c r="P745" s="16"/>
      <c r="Q745" s="16"/>
    </row>
    <row r="746">
      <c r="P746" s="16"/>
      <c r="Q746" s="16"/>
    </row>
    <row r="747">
      <c r="P747" s="16"/>
      <c r="Q747" s="16"/>
    </row>
    <row r="748">
      <c r="P748" s="16"/>
      <c r="Q748" s="16"/>
    </row>
    <row r="749">
      <c r="P749" s="16"/>
      <c r="Q749" s="16"/>
    </row>
    <row r="750">
      <c r="P750" s="16"/>
      <c r="Q750" s="16"/>
    </row>
    <row r="751">
      <c r="P751" s="16"/>
      <c r="Q751" s="16"/>
    </row>
    <row r="752">
      <c r="P752" s="16"/>
      <c r="Q752" s="16"/>
    </row>
    <row r="753">
      <c r="P753" s="16"/>
      <c r="Q753" s="16"/>
    </row>
    <row r="754">
      <c r="P754" s="16"/>
      <c r="Q754" s="16"/>
    </row>
    <row r="755">
      <c r="P755" s="16"/>
      <c r="Q755" s="16"/>
    </row>
    <row r="756">
      <c r="P756" s="16"/>
      <c r="Q756" s="16"/>
    </row>
    <row r="757">
      <c r="P757" s="16"/>
      <c r="Q757" s="16"/>
    </row>
    <row r="758">
      <c r="P758" s="16"/>
      <c r="Q758" s="16"/>
    </row>
    <row r="759">
      <c r="P759" s="16"/>
      <c r="Q759" s="16"/>
    </row>
    <row r="760">
      <c r="P760" s="16"/>
      <c r="Q760" s="16"/>
    </row>
    <row r="761">
      <c r="P761" s="16"/>
      <c r="Q761" s="16"/>
    </row>
    <row r="762">
      <c r="P762" s="16"/>
      <c r="Q762" s="16"/>
    </row>
    <row r="763">
      <c r="P763" s="16"/>
      <c r="Q763" s="16"/>
    </row>
    <row r="764">
      <c r="P764" s="16"/>
      <c r="Q764" s="16"/>
    </row>
    <row r="765">
      <c r="P765" s="16"/>
      <c r="Q765" s="16"/>
    </row>
    <row r="766">
      <c r="P766" s="16"/>
      <c r="Q766" s="16"/>
    </row>
    <row r="767">
      <c r="P767" s="16"/>
      <c r="Q767" s="16"/>
    </row>
    <row r="768">
      <c r="P768" s="16"/>
      <c r="Q768" s="16"/>
    </row>
    <row r="769">
      <c r="P769" s="16"/>
      <c r="Q769" s="16"/>
    </row>
    <row r="770">
      <c r="P770" s="16"/>
      <c r="Q770" s="16"/>
    </row>
    <row r="771">
      <c r="P771" s="16"/>
      <c r="Q771" s="16"/>
    </row>
    <row r="772">
      <c r="P772" s="16"/>
      <c r="Q772" s="16"/>
    </row>
    <row r="773">
      <c r="P773" s="16"/>
      <c r="Q773" s="16"/>
    </row>
    <row r="774">
      <c r="P774" s="16"/>
      <c r="Q774" s="16"/>
    </row>
    <row r="775">
      <c r="P775" s="16"/>
      <c r="Q775" s="16"/>
    </row>
    <row r="776">
      <c r="P776" s="16"/>
      <c r="Q776" s="16"/>
    </row>
    <row r="777">
      <c r="P777" s="16"/>
      <c r="Q777" s="16"/>
    </row>
    <row r="778">
      <c r="P778" s="16"/>
      <c r="Q778" s="16"/>
    </row>
    <row r="779">
      <c r="P779" s="16"/>
      <c r="Q779" s="16"/>
    </row>
    <row r="780">
      <c r="P780" s="16"/>
      <c r="Q780" s="16"/>
    </row>
    <row r="781">
      <c r="P781" s="16"/>
      <c r="Q781" s="16"/>
    </row>
    <row r="782">
      <c r="P782" s="16"/>
      <c r="Q782" s="16"/>
    </row>
    <row r="783">
      <c r="P783" s="16"/>
      <c r="Q783" s="16"/>
    </row>
    <row r="784">
      <c r="P784" s="16"/>
      <c r="Q784" s="16"/>
    </row>
    <row r="785">
      <c r="P785" s="16"/>
      <c r="Q785" s="16"/>
    </row>
    <row r="786">
      <c r="P786" s="16"/>
      <c r="Q786" s="16"/>
    </row>
    <row r="787">
      <c r="P787" s="16"/>
      <c r="Q787" s="16"/>
    </row>
    <row r="788">
      <c r="P788" s="16"/>
      <c r="Q788" s="16"/>
    </row>
    <row r="789">
      <c r="P789" s="16"/>
      <c r="Q789" s="16"/>
    </row>
    <row r="790">
      <c r="P790" s="16"/>
      <c r="Q790" s="16"/>
    </row>
    <row r="791">
      <c r="P791" s="16"/>
      <c r="Q791" s="16"/>
    </row>
    <row r="792">
      <c r="P792" s="16"/>
      <c r="Q792" s="16"/>
    </row>
    <row r="793">
      <c r="P793" s="16"/>
      <c r="Q793" s="16"/>
    </row>
    <row r="794">
      <c r="P794" s="16"/>
      <c r="Q794" s="16"/>
    </row>
    <row r="795">
      <c r="P795" s="16"/>
      <c r="Q795" s="16"/>
    </row>
    <row r="796">
      <c r="P796" s="16"/>
      <c r="Q796" s="16"/>
    </row>
    <row r="797">
      <c r="P797" s="16"/>
      <c r="Q797" s="16"/>
    </row>
    <row r="798">
      <c r="P798" s="16"/>
      <c r="Q798" s="16"/>
    </row>
    <row r="799">
      <c r="P799" s="16"/>
      <c r="Q799" s="16"/>
    </row>
    <row r="800">
      <c r="P800" s="16"/>
      <c r="Q800" s="16"/>
    </row>
    <row r="801">
      <c r="P801" s="16"/>
      <c r="Q801" s="16"/>
    </row>
    <row r="802">
      <c r="P802" s="16"/>
      <c r="Q802" s="16"/>
    </row>
    <row r="803">
      <c r="P803" s="16"/>
      <c r="Q803" s="16"/>
    </row>
    <row r="804">
      <c r="P804" s="16"/>
      <c r="Q804" s="16"/>
    </row>
    <row r="805">
      <c r="P805" s="16"/>
      <c r="Q805" s="16"/>
    </row>
    <row r="806">
      <c r="P806" s="16"/>
      <c r="Q806" s="16"/>
    </row>
    <row r="807">
      <c r="P807" s="16"/>
      <c r="Q807" s="16"/>
    </row>
    <row r="808">
      <c r="P808" s="16"/>
      <c r="Q808" s="16"/>
    </row>
    <row r="809">
      <c r="P809" s="16"/>
      <c r="Q809" s="16"/>
    </row>
    <row r="810">
      <c r="P810" s="16"/>
      <c r="Q810" s="16"/>
    </row>
    <row r="811">
      <c r="P811" s="16"/>
      <c r="Q811" s="16"/>
    </row>
    <row r="812">
      <c r="P812" s="16"/>
      <c r="Q812" s="16"/>
    </row>
    <row r="813">
      <c r="P813" s="16"/>
      <c r="Q813" s="16"/>
    </row>
    <row r="814">
      <c r="P814" s="16"/>
      <c r="Q814" s="16"/>
    </row>
    <row r="815">
      <c r="P815" s="16"/>
      <c r="Q815" s="16"/>
    </row>
    <row r="816">
      <c r="P816" s="16"/>
      <c r="Q816" s="16"/>
    </row>
    <row r="817">
      <c r="P817" s="16"/>
      <c r="Q817" s="16"/>
    </row>
    <row r="818">
      <c r="P818" s="16"/>
      <c r="Q818" s="16"/>
    </row>
    <row r="819">
      <c r="P819" s="16"/>
      <c r="Q819" s="16"/>
    </row>
    <row r="820">
      <c r="P820" s="16"/>
      <c r="Q820" s="16"/>
    </row>
    <row r="821">
      <c r="P821" s="16"/>
      <c r="Q821" s="16"/>
    </row>
    <row r="822">
      <c r="P822" s="16"/>
      <c r="Q822" s="16"/>
    </row>
    <row r="823">
      <c r="P823" s="16"/>
      <c r="Q823" s="16"/>
    </row>
    <row r="824">
      <c r="P824" s="16"/>
      <c r="Q824" s="16"/>
    </row>
    <row r="825">
      <c r="P825" s="16"/>
      <c r="Q825" s="16"/>
    </row>
    <row r="826">
      <c r="P826" s="16"/>
      <c r="Q826" s="16"/>
    </row>
    <row r="827">
      <c r="P827" s="16"/>
      <c r="Q827" s="16"/>
    </row>
    <row r="828">
      <c r="P828" s="16"/>
      <c r="Q828" s="16"/>
    </row>
    <row r="829">
      <c r="P829" s="16"/>
      <c r="Q829" s="16"/>
    </row>
    <row r="830">
      <c r="P830" s="16"/>
      <c r="Q830" s="16"/>
    </row>
    <row r="831">
      <c r="P831" s="16"/>
      <c r="Q831" s="16"/>
    </row>
    <row r="832">
      <c r="P832" s="16"/>
      <c r="Q832" s="16"/>
    </row>
    <row r="833">
      <c r="P833" s="16"/>
      <c r="Q833" s="16"/>
    </row>
    <row r="834">
      <c r="P834" s="16"/>
      <c r="Q834" s="16"/>
    </row>
    <row r="835">
      <c r="P835" s="16"/>
      <c r="Q835" s="16"/>
    </row>
    <row r="836">
      <c r="P836" s="16"/>
      <c r="Q836" s="16"/>
    </row>
    <row r="837">
      <c r="P837" s="16"/>
      <c r="Q837" s="16"/>
    </row>
    <row r="838">
      <c r="P838" s="16"/>
      <c r="Q838" s="16"/>
    </row>
    <row r="839">
      <c r="P839" s="16"/>
      <c r="Q839" s="16"/>
    </row>
    <row r="840">
      <c r="P840" s="16"/>
      <c r="Q840" s="16"/>
    </row>
    <row r="841">
      <c r="P841" s="16"/>
      <c r="Q841" s="16"/>
    </row>
    <row r="842">
      <c r="P842" s="16"/>
      <c r="Q842" s="16"/>
    </row>
    <row r="843">
      <c r="P843" s="16"/>
      <c r="Q843" s="16"/>
    </row>
    <row r="844">
      <c r="P844" s="16"/>
      <c r="Q844" s="16"/>
    </row>
    <row r="845">
      <c r="P845" s="16"/>
      <c r="Q845" s="16"/>
    </row>
    <row r="846">
      <c r="P846" s="16"/>
      <c r="Q846" s="16"/>
    </row>
    <row r="847">
      <c r="P847" s="16"/>
      <c r="Q847" s="16"/>
    </row>
    <row r="848">
      <c r="P848" s="16"/>
      <c r="Q848" s="16"/>
    </row>
    <row r="849">
      <c r="P849" s="16"/>
      <c r="Q849" s="16"/>
    </row>
    <row r="850">
      <c r="P850" s="16"/>
      <c r="Q850" s="16"/>
    </row>
    <row r="851">
      <c r="P851" s="16"/>
      <c r="Q851" s="16"/>
    </row>
    <row r="852">
      <c r="P852" s="16"/>
      <c r="Q852" s="16"/>
    </row>
    <row r="853">
      <c r="P853" s="16"/>
      <c r="Q853" s="16"/>
    </row>
    <row r="854">
      <c r="P854" s="16"/>
      <c r="Q854" s="16"/>
    </row>
    <row r="855">
      <c r="P855" s="16"/>
      <c r="Q855" s="16"/>
    </row>
    <row r="856">
      <c r="P856" s="16"/>
      <c r="Q856" s="16"/>
    </row>
    <row r="857">
      <c r="P857" s="16"/>
      <c r="Q857" s="16"/>
    </row>
    <row r="858">
      <c r="P858" s="16"/>
      <c r="Q858" s="16"/>
    </row>
    <row r="859">
      <c r="P859" s="16"/>
      <c r="Q859" s="16"/>
    </row>
    <row r="860">
      <c r="P860" s="16"/>
      <c r="Q860" s="16"/>
    </row>
    <row r="861">
      <c r="P861" s="16"/>
      <c r="Q861" s="16"/>
    </row>
    <row r="862">
      <c r="P862" s="16"/>
      <c r="Q862" s="16"/>
    </row>
    <row r="863">
      <c r="P863" s="16"/>
      <c r="Q863" s="16"/>
    </row>
    <row r="864">
      <c r="P864" s="16"/>
      <c r="Q864" s="16"/>
    </row>
    <row r="865">
      <c r="P865" s="16"/>
      <c r="Q865" s="16"/>
    </row>
    <row r="866">
      <c r="P866" s="16"/>
      <c r="Q866" s="16"/>
    </row>
    <row r="867">
      <c r="P867" s="16"/>
      <c r="Q867" s="16"/>
    </row>
    <row r="868">
      <c r="P868" s="16"/>
      <c r="Q868" s="16"/>
    </row>
    <row r="869">
      <c r="P869" s="16"/>
      <c r="Q869" s="16"/>
    </row>
    <row r="870">
      <c r="P870" s="16"/>
      <c r="Q870" s="16"/>
    </row>
    <row r="871">
      <c r="P871" s="16"/>
      <c r="Q871" s="16"/>
    </row>
    <row r="872">
      <c r="P872" s="16"/>
      <c r="Q872" s="16"/>
    </row>
    <row r="873">
      <c r="P873" s="16"/>
      <c r="Q873" s="16"/>
    </row>
    <row r="874">
      <c r="P874" s="16"/>
      <c r="Q874" s="16"/>
    </row>
    <row r="875">
      <c r="P875" s="16"/>
      <c r="Q875" s="16"/>
    </row>
    <row r="876">
      <c r="P876" s="16"/>
      <c r="Q876" s="16"/>
    </row>
    <row r="877">
      <c r="P877" s="16"/>
      <c r="Q877" s="16"/>
    </row>
    <row r="878">
      <c r="P878" s="16"/>
      <c r="Q878" s="16"/>
    </row>
    <row r="879">
      <c r="P879" s="16"/>
      <c r="Q879" s="16"/>
    </row>
    <row r="880">
      <c r="P880" s="16"/>
      <c r="Q880" s="16"/>
    </row>
    <row r="881">
      <c r="P881" s="16"/>
      <c r="Q881" s="16"/>
    </row>
    <row r="882">
      <c r="P882" s="16"/>
      <c r="Q882" s="16"/>
    </row>
    <row r="883">
      <c r="P883" s="16"/>
      <c r="Q883" s="16"/>
    </row>
    <row r="884">
      <c r="P884" s="16"/>
      <c r="Q884" s="16"/>
    </row>
    <row r="885">
      <c r="P885" s="16"/>
      <c r="Q885" s="16"/>
    </row>
    <row r="886">
      <c r="P886" s="16"/>
      <c r="Q886" s="16"/>
    </row>
    <row r="887">
      <c r="P887" s="16"/>
      <c r="Q887" s="16"/>
    </row>
    <row r="888">
      <c r="P888" s="16"/>
      <c r="Q888" s="16"/>
    </row>
    <row r="889">
      <c r="P889" s="16"/>
      <c r="Q889" s="16"/>
    </row>
    <row r="890">
      <c r="P890" s="16"/>
      <c r="Q890" s="16"/>
    </row>
    <row r="891">
      <c r="P891" s="16"/>
      <c r="Q891" s="16"/>
    </row>
    <row r="892">
      <c r="P892" s="16"/>
      <c r="Q892" s="16"/>
    </row>
    <row r="893">
      <c r="P893" s="16"/>
      <c r="Q893" s="16"/>
    </row>
    <row r="894">
      <c r="P894" s="16"/>
      <c r="Q894" s="16"/>
    </row>
    <row r="895">
      <c r="P895" s="16"/>
      <c r="Q895" s="16"/>
    </row>
    <row r="896">
      <c r="P896" s="16"/>
      <c r="Q896" s="16"/>
    </row>
    <row r="897">
      <c r="P897" s="16"/>
      <c r="Q897" s="16"/>
    </row>
    <row r="898">
      <c r="P898" s="16"/>
      <c r="Q898" s="16"/>
    </row>
    <row r="899">
      <c r="P899" s="16"/>
      <c r="Q899" s="16"/>
    </row>
    <row r="900">
      <c r="P900" s="16"/>
      <c r="Q900" s="16"/>
    </row>
    <row r="901">
      <c r="P901" s="16"/>
      <c r="Q901" s="16"/>
    </row>
    <row r="902">
      <c r="P902" s="16"/>
      <c r="Q902" s="16"/>
    </row>
    <row r="903">
      <c r="P903" s="16"/>
      <c r="Q903" s="16"/>
    </row>
    <row r="904">
      <c r="P904" s="16"/>
      <c r="Q904" s="16"/>
    </row>
    <row r="905">
      <c r="P905" s="16"/>
      <c r="Q905" s="16"/>
    </row>
    <row r="906">
      <c r="P906" s="16"/>
      <c r="Q906" s="16"/>
    </row>
    <row r="907">
      <c r="P907" s="16"/>
      <c r="Q907" s="16"/>
    </row>
    <row r="908">
      <c r="P908" s="16"/>
      <c r="Q908" s="16"/>
    </row>
    <row r="909">
      <c r="P909" s="16"/>
      <c r="Q909" s="16"/>
    </row>
    <row r="910">
      <c r="P910" s="16"/>
      <c r="Q910" s="16"/>
    </row>
    <row r="911">
      <c r="P911" s="16"/>
      <c r="Q911" s="16"/>
    </row>
    <row r="912">
      <c r="P912" s="16"/>
      <c r="Q912" s="16"/>
    </row>
    <row r="913">
      <c r="P913" s="16"/>
      <c r="Q913" s="16"/>
    </row>
    <row r="914">
      <c r="P914" s="16"/>
      <c r="Q914" s="16"/>
    </row>
    <row r="915">
      <c r="P915" s="16"/>
      <c r="Q915" s="16"/>
    </row>
    <row r="916">
      <c r="P916" s="16"/>
      <c r="Q916" s="16"/>
    </row>
    <row r="917">
      <c r="P917" s="16"/>
      <c r="Q917" s="16"/>
    </row>
    <row r="918">
      <c r="P918" s="16"/>
      <c r="Q918" s="16"/>
    </row>
    <row r="919">
      <c r="P919" s="16"/>
      <c r="Q919" s="16"/>
    </row>
    <row r="920">
      <c r="P920" s="16"/>
      <c r="Q920" s="16"/>
    </row>
    <row r="921">
      <c r="P921" s="16"/>
      <c r="Q921" s="16"/>
    </row>
    <row r="922">
      <c r="P922" s="16"/>
      <c r="Q922" s="16"/>
    </row>
    <row r="923">
      <c r="P923" s="16"/>
      <c r="Q923" s="16"/>
    </row>
    <row r="924">
      <c r="P924" s="16"/>
      <c r="Q924" s="16"/>
    </row>
    <row r="925">
      <c r="P925" s="16"/>
      <c r="Q925" s="16"/>
    </row>
    <row r="926">
      <c r="P926" s="16"/>
      <c r="Q926" s="16"/>
    </row>
    <row r="927">
      <c r="P927" s="16"/>
      <c r="Q927" s="16"/>
    </row>
    <row r="928">
      <c r="P928" s="16"/>
      <c r="Q928" s="16"/>
    </row>
    <row r="929">
      <c r="P929" s="16"/>
      <c r="Q929" s="16"/>
    </row>
    <row r="930">
      <c r="P930" s="16"/>
      <c r="Q930" s="16"/>
    </row>
    <row r="931">
      <c r="P931" s="16"/>
      <c r="Q931" s="16"/>
    </row>
    <row r="932">
      <c r="P932" s="16"/>
      <c r="Q932" s="16"/>
    </row>
    <row r="933">
      <c r="P933" s="16"/>
      <c r="Q933" s="16"/>
    </row>
    <row r="934">
      <c r="P934" s="16"/>
      <c r="Q934" s="16"/>
    </row>
    <row r="935">
      <c r="P935" s="16"/>
      <c r="Q935" s="16"/>
    </row>
    <row r="936">
      <c r="P936" s="16"/>
      <c r="Q936" s="16"/>
    </row>
    <row r="937">
      <c r="P937" s="16"/>
      <c r="Q937" s="16"/>
    </row>
    <row r="938">
      <c r="P938" s="16"/>
      <c r="Q938" s="16"/>
    </row>
    <row r="939">
      <c r="P939" s="16"/>
      <c r="Q939" s="16"/>
    </row>
    <row r="940">
      <c r="P940" s="16"/>
      <c r="Q940" s="16"/>
    </row>
    <row r="941">
      <c r="P941" s="16"/>
      <c r="Q941" s="16"/>
    </row>
    <row r="942">
      <c r="P942" s="16"/>
      <c r="Q942" s="16"/>
    </row>
    <row r="943">
      <c r="P943" s="16"/>
      <c r="Q943" s="16"/>
    </row>
    <row r="944">
      <c r="P944" s="16"/>
      <c r="Q944" s="16"/>
    </row>
    <row r="945">
      <c r="P945" s="16"/>
      <c r="Q945" s="16"/>
    </row>
    <row r="946">
      <c r="P946" s="16"/>
      <c r="Q946" s="16"/>
    </row>
    <row r="947">
      <c r="P947" s="16"/>
      <c r="Q947" s="16"/>
    </row>
    <row r="948">
      <c r="P948" s="16"/>
      <c r="Q948" s="16"/>
    </row>
    <row r="949">
      <c r="P949" s="16"/>
      <c r="Q949" s="16"/>
    </row>
    <row r="950">
      <c r="P950" s="16"/>
      <c r="Q950" s="16"/>
    </row>
    <row r="951">
      <c r="P951" s="16"/>
      <c r="Q951" s="16"/>
    </row>
    <row r="952">
      <c r="P952" s="16"/>
      <c r="Q952" s="16"/>
    </row>
    <row r="953">
      <c r="P953" s="16"/>
      <c r="Q953" s="16"/>
    </row>
    <row r="954">
      <c r="P954" s="16"/>
      <c r="Q954" s="16"/>
    </row>
    <row r="955">
      <c r="P955" s="16"/>
      <c r="Q955" s="16"/>
    </row>
    <row r="956">
      <c r="P956" s="16"/>
      <c r="Q956"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207</v>
      </c>
      <c r="B1" s="14" t="s">
        <v>208</v>
      </c>
      <c r="C1" s="14" t="s">
        <v>209</v>
      </c>
      <c r="D1" s="14" t="s">
        <v>210</v>
      </c>
      <c r="E1" s="14" t="s">
        <v>180</v>
      </c>
      <c r="F1" s="14" t="s">
        <v>211</v>
      </c>
      <c r="G1" s="14" t="s">
        <v>212</v>
      </c>
    </row>
    <row r="2">
      <c r="A2" s="67" t="s">
        <v>95</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98</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102</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107</v>
      </c>
      <c r="B5" s="16">
        <f>IF(VLOOKUP(Leveler!$K$1,Classes!$A$2:$AX1000,MATCH($A5,Classes!$A$1:$AX$1,0),FALSE)&gt;0,IF($B$26,IF(ISNUMBER(MATCH($A5,$B$27:$B$29,0)),VLOOKUP(Leveler!$K$1,Classes!$A$2:$AX1000,MATCH($A5,Classes!$A$1:$AX$1,0),false),0),VLOOKUP(Leveler!$K$1,Classes!$A$2:$AX1000,MATCH($A5,Classes!$A$1:$AX$1,0),FALSE)),0)</f>
        <v>0</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113</v>
      </c>
      <c r="B6" s="16">
        <f>IF(VLOOKUP(Leveler!$K$1,Classes!$A$2:$AX1000,MATCH($A6,Classes!$A$1:$AX$1,0),FALSE)&gt;0,IF($B$26,IF(ISNUMBER(MATCH($A6,$B$27:$B$29,0)),VLOOKUP(Leveler!$K$1,Classes!$A$2:$AX1000,MATCH($A6,Classes!$A$1:$AX$1,0),false),0),VLOOKUP(Leveler!$K$1,Classes!$A$2:$AX1000,MATCH($A6,Classes!$A$1:$AX$1,0),FALSE)),0)</f>
        <v>0</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118</v>
      </c>
      <c r="B7" s="16">
        <f>IF(VLOOKUP(Leveler!$K$1,Classes!$A$2:$AX1000,MATCH($A7,Classes!$A$1:$AX$1,0),FALSE)&gt;0,IF($B$26,IF(ISNUMBER(MATCH($A7,$B$27:$B$29,0)),VLOOKUP(Leveler!$K$1,Classes!$A$2:$AX1000,MATCH($A7,Classes!$A$1:$AX$1,0),false),0),VLOOKUP(Leveler!$K$1,Classes!$A$2:$AX1000,MATCH($A7,Classes!$A$1:$AX$1,0),FALSE)),0)</f>
        <v>0</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121</v>
      </c>
      <c r="B8" s="16">
        <f>IF(VLOOKUP(Leveler!$K$1,Classes!$A$2:$AX1000,MATCH($A8,Classes!$A$1:$AX$1,0),FALSE)&gt;0,IF($B$26,IF(ISNUMBER(MATCH($A8,$B$27:$B$29,0)),VLOOKUP(Leveler!$K$1,Classes!$A$2:$AX1000,MATCH($A8,Classes!$A$1:$AX$1,0),false),0),VLOOKUP(Leveler!$K$1,Classes!$A$2:$AX1000,MATCH($A8,Classes!$A$1:$AX$1,0),FALSE)),0)</f>
        <v>0</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125</v>
      </c>
      <c r="B9" s="16">
        <f>IF(VLOOKUP(Leveler!$K$1,Classes!$A$2:$AX1000,MATCH($A9,Classes!$A$1:$AX$1,0),FALSE)&gt;0,IF($B$26,IF(ISNUMBER(MATCH($A9,$B$27:$B$29,0)),VLOOKUP(Leveler!$K$1,Classes!$A$2:$AX1000,MATCH($A9,Classes!$A$1:$AX$1,0),false),0),VLOOKUP(Leveler!$K$1,Classes!$A$2:$AX1000,MATCH($A9,Classes!$A$1:$AX$1,0),FALSE)),0)</f>
        <v>0</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127</v>
      </c>
      <c r="B10" s="16">
        <f>IF(VLOOKUP(Leveler!$K$1,Classes!$A$2:$AX1000,MATCH($A10,Classes!$A$1:$AX$1,0),FALSE)&gt;0,IF($B$26,IF(ISNUMBER(MATCH($A10,$B$27:$B$29,0)),VLOOKUP(Leveler!$K$1,Classes!$A$2:$AX1000,MATCH($A10,Classes!$A$1:$AX$1,0),false),0),VLOOKUP(Leveler!$K$1,Classes!$A$2:$AX1000,MATCH($A10,Classes!$A$1:$AX$1,0),FALSE)),0)</f>
        <v>0</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128</v>
      </c>
      <c r="B11" s="16">
        <f>IF(VLOOKUP(Leveler!$K$1,Classes!$A$2:$AX1000,MATCH($A11,Classes!$A$1:$AX$1,0),FALSE)&gt;0,IF($B$26,IF(ISNUMBER(MATCH($A11,$B$27:$B$29,0)),VLOOKUP(Leveler!$K$1,Classes!$A$2:$AX1000,MATCH($A11,Classes!$A$1:$AX$1,0),false),0),VLOOKUP(Leveler!$K$1,Classes!$A$2:$AX1000,MATCH($A11,Classes!$A$1:$AX$1,0),FALSE)),0)</f>
        <v>0</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133</v>
      </c>
      <c r="B12" s="16">
        <f>IF(VLOOKUP(Leveler!$K$1,Classes!$A$2:$AX1000,MATCH($A12,Classes!$A$1:$AX$1,0),FALSE)&gt;0,IF($B$26,IF(ISNUMBER(MATCH($A12,$B$27:$B$29,0)),VLOOKUP(Leveler!$K$1,Classes!$A$2:$AX1000,MATCH($A12,Classes!$A$1:$AX$1,0),false),0),VLOOKUP(Leveler!$K$1,Classes!$A$2:$AX1000,MATCH($A12,Classes!$A$1:$AX$1,0),FALSE)),0)</f>
        <v>0</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135</v>
      </c>
      <c r="B13" s="16">
        <f>IF(VLOOKUP(Leveler!$K$1,Classes!$A$2:$AX1000,MATCH($A13,Classes!$A$1:$AX$1,0),FALSE)&gt;0,IF($B$26,IF(ISNUMBER(MATCH($A13,$B$27:$B$29,0)),VLOOKUP(Leveler!$K$1,Classes!$A$2:$AX1000,MATCH($A13,Classes!$A$1:$AX$1,0),false),0),VLOOKUP(Leveler!$K$1,Classes!$A$2:$AX1000,MATCH($A13,Classes!$A$1:$AX$1,0),FALSE)),0)</f>
        <v>0</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139</v>
      </c>
      <c r="B14" s="16">
        <f>IF(VLOOKUP(Leveler!$K$1,Classes!$A$2:$AX1000,MATCH($A14,Classes!$A$1:$AX$1,0),FALSE)&gt;0,IF($B$26,IF(ISNUMBER(MATCH($A14,$B$27:$B$29,0)),VLOOKUP(Leveler!$K$1,Classes!$A$2:$AX1000,MATCH($A14,Classes!$A$1:$AX$1,0),false),0),VLOOKUP(Leveler!$K$1,Classes!$A$2:$AX1000,MATCH($A14,Classes!$A$1:$AX$1,0),FALSE)),0)</f>
        <v>0</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141</v>
      </c>
      <c r="B15" s="16">
        <f>IF(VLOOKUP(Leveler!$K$1,Classes!$A$2:$AX1000,MATCH($A15,Classes!$A$1:$AX$1,0),FALSE)&gt;0,IF($B$26,IF(ISNUMBER(MATCH($A15,$B$27:$B$29,0)),VLOOKUP(Leveler!$K$1,Classes!$A$2:$AX1000,MATCH($A15,Classes!$A$1:$AX$1,0),false),0),VLOOKUP(Leveler!$K$1,Classes!$A$2:$AX1000,MATCH($A15,Classes!$A$1:$AX$1,0),FALSE)),0)</f>
        <v>0</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142</v>
      </c>
      <c r="B16" s="16">
        <f>IF(VLOOKUP(Leveler!$K$1,Classes!$A$2:$AX1000,MATCH($A16,Classes!$A$1:$AX$1,0),FALSE)&gt;0,IF($B$26,IF(ISNUMBER(MATCH($A16,$B$27:$B$29,0)),VLOOKUP(Leveler!$K$1,Classes!$A$2:$AX1000,MATCH($A16,Classes!$A$1:$AX$1,0),false),0),VLOOKUP(Leveler!$K$1,Classes!$A$2:$AX1000,MATCH($A16,Classes!$A$1:$AX$1,0),FALSE)),0)</f>
        <v>0</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144</v>
      </c>
      <c r="B17" s="16">
        <f>IF(VLOOKUP(Leveler!$K$1,Classes!$A$2:$AX1000,MATCH($A17,Classes!$A$1:$AX$1,0),FALSE)&gt;0,IF($B$26,IF(ISNUMBER(MATCH($A17,$B$27:$B$29,0)),VLOOKUP(Leveler!$K$1,Classes!$A$2:$AX1000,MATCH($A17,Classes!$A$1:$AX$1,0),false),0),VLOOKUP(Leveler!$K$1,Classes!$A$2:$AX1000,MATCH($A17,Classes!$A$1:$AX$1,0),FALSE)),0)</f>
        <v>0</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145</v>
      </c>
      <c r="B18" s="16">
        <f>IF(VLOOKUP(Leveler!$K$1,Classes!$A$2:$AX1000,MATCH($A18,Classes!$A$1:$AX$1,0),FALSE)&gt;0,IF($B$26,IF(ISNUMBER(MATCH($A18,$B$27:$B$29,0)),VLOOKUP(Leveler!$K$1,Classes!$A$2:$AX1000,MATCH($A18,Classes!$A$1:$AX$1,0),false),0),VLOOKUP(Leveler!$K$1,Classes!$A$2:$AX1000,MATCH($A18,Classes!$A$1:$AX$1,0),FALSE)),0)</f>
        <v>0</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147</v>
      </c>
      <c r="B19" s="16">
        <f>IF(VLOOKUP(Leveler!$K$1,Classes!$A$2:$AX1000,MATCH($A19,Classes!$A$1:$AX$1,0),FALSE)&gt;0,IF($B$26,IF(ISNUMBER(MATCH($A19,$B$27:$B$29,0)),VLOOKUP(Leveler!$K$1,Classes!$A$2:$AX1000,MATCH($A19,Classes!$A$1:$AX$1,0),false),0),VLOOKUP(Leveler!$K$1,Classes!$A$2:$AX1000,MATCH($A19,Classes!$A$1:$AX$1,0),FALSE)),0)</f>
        <v>0</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149</v>
      </c>
      <c r="B20" s="16">
        <f>IF(VLOOKUP(Leveler!$K$1,Classes!$A$2:$AX1000,MATCH($A20,Classes!$A$1:$AX$1,0),FALSE)&gt;0,IF($B$26,IF(ISNUMBER(MATCH($A20,$B$27:$B$29,0)),VLOOKUP(Leveler!$K$1,Classes!$A$2:$AX1000,MATCH($A20,Classes!$A$1:$AX$1,0),false),0),VLOOKUP(Leveler!$K$1,Classes!$A$2:$AX1000,MATCH($A20,Classes!$A$1:$AX$1,0),FALSE)),0)</f>
        <v>0</v>
      </c>
      <c r="C20" s="16">
        <f>IF(Leveler!$B$13&gt;199,IF(VLOOKUP(Leveler!$K$3,EnhancedClasses!$B$2:$AX1000,MATCH($A20,EnhancedClasses!$B$1:$AX$1,0),FALSE)&gt;0,VLOOKUP(Leveler!$K$3,EnhancedClasses!$B$2:$AX1000,MATCH($A20,EnhancedClasses!$B$1:$AX$1,0),FALSE),0),0)</f>
        <v>0</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0</v>
      </c>
      <c r="H20" s="16" t="str">
        <f>IFERROR(__xludf.DUMMYFUNCTION("""COMPUTED_VALUE"""),"Astral")</f>
        <v>Astral</v>
      </c>
      <c r="I20" s="16">
        <f>IFERROR(__xludf.DUMMYFUNCTION("""COMPUTED_VALUE"""),9.0)</f>
        <v>9</v>
      </c>
    </row>
    <row r="21">
      <c r="A21" s="67" t="s">
        <v>150</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IFERROR(__xludf.DUMMYFUNCTION("""COMPUTED_VALUE"""),"Celestial")</f>
        <v>Celestial</v>
      </c>
      <c r="I21" s="16">
        <f>IFERROR(__xludf.DUMMYFUNCTION("""COMPUTED_VALUE"""),9.0)</f>
        <v>9</v>
      </c>
    </row>
    <row r="22">
      <c r="A22" s="67" t="s">
        <v>153</v>
      </c>
      <c r="B22" s="16">
        <f>IF(VLOOKUP(Leveler!$K$1,Classes!$A$2:$AX1000,MATCH($A22,Classes!$A$1:$AX$1,0),FALSE)&gt;0,IF($B$26,IF(ISNUMBER(MATCH($A22,$B$27:$B$29,0)),VLOOKUP(Leveler!$K$1,Classes!$A$2:$AX1000,MATCH($A22,Classes!$A$1:$AX$1,0),false),0),VLOOKUP(Leveler!$K$1,Classes!$A$2:$AX1000,MATCH($A22,Classes!$A$1:$AX$1,0),FALSE)),0)</f>
        <v>0</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IFERROR(__xludf.DUMMYFUNCTION("""COMPUTED_VALUE"""),"Acoustic")</f>
        <v>Acoustic</v>
      </c>
      <c r="I22" s="16">
        <f>IFERROR(__xludf.DUMMYFUNCTION("""COMPUTED_VALUE"""),9.0)</f>
        <v>9</v>
      </c>
    </row>
    <row r="23">
      <c r="A23" s="67" t="s">
        <v>155</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156</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9</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9</v>
      </c>
    </row>
    <row r="26">
      <c r="A26" s="14" t="s">
        <v>213</v>
      </c>
      <c r="B26" s="16" t="b">
        <f>IF(OR(ISNUMBER(SEARCH("Sorcerer",Leveler!$K$1)),ISNUMBER(SEARCH("Mage",Leveler!$K$1)),ISNUMBER(SEARCH("Wizard",Leveler!$K$1)),ISNUMBER(SEARCH("Witch",Leveler!$K$1)),ISNUMBER(SEARCH("Bard",Leveler!$K$1))),True,False)</f>
        <v>1</v>
      </c>
    </row>
    <row r="27">
      <c r="A27" s="14">
        <v>1.0</v>
      </c>
      <c r="B27" s="16" t="str">
        <f>IF($B$26,Leveler!$K5)</f>
        <v>Fire</v>
      </c>
    </row>
    <row r="28">
      <c r="A28" s="14">
        <v>2.0</v>
      </c>
      <c r="B28" s="16" t="str">
        <f>IF($B$26,Leveler!$K6)</f>
        <v>Water</v>
      </c>
    </row>
    <row r="29">
      <c r="A29" s="14">
        <v>3.0</v>
      </c>
      <c r="B29" s="16" t="str">
        <f>IF($B$26,Leveler!$K7)</f>
        <v>Storm</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183</v>
      </c>
      <c r="C1" s="90" t="s">
        <v>214</v>
      </c>
      <c r="D1" s="90" t="s">
        <v>215</v>
      </c>
      <c r="E1" s="90" t="s">
        <v>216</v>
      </c>
      <c r="F1" s="90" t="s">
        <v>26</v>
      </c>
      <c r="G1" s="90" t="s">
        <v>217</v>
      </c>
      <c r="H1" s="90" t="s">
        <v>181</v>
      </c>
      <c r="I1" s="91"/>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}),8,TRUE,1,TRUE)"),"Acoustic Slam")</f>
        <v>Acoustic Slam</v>
      </c>
      <c r="B2" s="16">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J2" s="92" t="s">
        <v>218</v>
      </c>
      <c r="V2" s="14"/>
    </row>
    <row r="3">
      <c r="A3" s="16" t="str">
        <f>IFERROR(__xludf.DUMMYFUNCTION("""COMPUTED_VALUE"""),"Amplify")</f>
        <v>Amplify</v>
      </c>
      <c r="B3" s="16">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J3" s="93" t="s">
        <v>219</v>
      </c>
    </row>
    <row r="4">
      <c r="A4" s="16" t="str">
        <f>IFERROR(__xludf.DUMMYFUNCTION("""COMPUTED_VALUE"""),"Chant of Discomfort")</f>
        <v>Chant of Discomfort</v>
      </c>
      <c r="B4" s="16">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J4" s="93" t="s">
        <v>220</v>
      </c>
    </row>
    <row r="5">
      <c r="A5" s="16" t="str">
        <f>IFERROR(__xludf.DUMMYFUNCTION("""COMPUTED_VALUE"""),"Choir of 1000 Voices")</f>
        <v>Choir of 1000 Voices</v>
      </c>
      <c r="B5" s="16">
        <f>IFERROR(__xludf.DUMMYFUNCTION("""COMPUTED_VALUE"""),1.0)</f>
        <v>1</v>
      </c>
      <c r="C5" s="16">
        <f>IFERROR(__xludf.DUMMYFUNCTION("""COMPUTED_VALUE"""),0.0)</f>
        <v>0</v>
      </c>
      <c r="D5" s="16"/>
      <c r="E5" s="16" t="str">
        <f>IFERROR(__xludf.DUMMYFUNCTION("""COMPUTED_VALUE"""),"10,000 Acoustic, Light, and Order damage to all enemies.")</f>
        <v>10,000 Acoustic, Light, and Order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J5" s="93" t="s">
        <v>221</v>
      </c>
    </row>
    <row r="6">
      <c r="A6" s="16" t="str">
        <f>IFERROR(__xludf.DUMMYFUNCTION("""COMPUTED_VALUE"""),"Dreadful's Choir")</f>
        <v>Dreadful's Choir</v>
      </c>
      <c r="B6" s="16">
        <f>IFERROR(__xludf.DUMMYFUNCTION("""COMPUTED_VALUE"""),1.0)</f>
        <v>1</v>
      </c>
      <c r="C6" s="16">
        <f>IFERROR(__xludf.DUMMYFUNCTION("""COMPUTED_VALUE"""),0.0)</f>
        <v>0</v>
      </c>
      <c r="D6" s="16"/>
      <c r="E6" s="16" t="str">
        <f>IFERROR(__xludf.DUMMYFUNCTION("""COMPUTED_VALUE"""),"20,000 Acoustic, Dark, Fire, and Chaos Damage to all enemies. 25% chance nearby guards will engage you in battle.")</f>
        <v>20,000 Acoustic, Dark, Fire, and Chaos Damage to all enemies. 25% chance nearby guards will engage you in battle.</v>
      </c>
      <c r="F6" s="16" t="str">
        <f>IFERROR(__xludf.DUMMYFUNCTION("""COMPUTED_VALUE"""),"Natural/Cannot Avoid")</f>
        <v>Natural/Cannot Avoid</v>
      </c>
      <c r="G6" s="16" t="str">
        <f>IFERROR(__xludf.DUMMYFUNCTION("""COMPUTED_VALUE"""),"All")</f>
        <v>All</v>
      </c>
      <c r="H6" s="16" t="str">
        <f>IFERROR(__xludf.DUMMYFUNCTION("""COMPUTED_VALUE"""),"Acoustic")</f>
        <v>Acoustic</v>
      </c>
      <c r="J6" s="93" t="s">
        <v>222</v>
      </c>
    </row>
    <row r="7">
      <c r="A7" s="16" t="str">
        <f>IFERROR(__xludf.DUMMYFUNCTION("""COMPUTED_VALUE"""),"Healing Melody")</f>
        <v>Healing Melody</v>
      </c>
      <c r="B7" s="16">
        <f>IFERROR(__xludf.DUMMYFUNCTION("""COMPUTED_VALUE"""),1.0)</f>
        <v>1</v>
      </c>
      <c r="C7" s="16">
        <f>IFERROR(__xludf.DUMMYFUNCTION("""COMPUTED_VALUE"""),0.0)</f>
        <v>0</v>
      </c>
      <c r="D7" s="16"/>
      <c r="E7" s="16" t="str">
        <f>IFERROR(__xludf.DUMMYFUNCTION("""COMPUTED_VALUE"""),"Restores 300 HP and SP to a target of choosing.")</f>
        <v>Restores 300 HP and SP to a target of choosing.</v>
      </c>
      <c r="F7" s="16" t="str">
        <f>IFERROR(__xludf.DUMMYFUNCTION("""COMPUTED_VALUE"""),"Natural/Will Succeed")</f>
        <v>Natural/Will Succeed</v>
      </c>
      <c r="G7" s="16">
        <f>IFERROR(__xludf.DUMMYFUNCTION("""COMPUTED_VALUE"""),1.0)</f>
        <v>1</v>
      </c>
      <c r="H7" s="16" t="str">
        <f>IFERROR(__xludf.DUMMYFUNCTION("""COMPUTED_VALUE"""),"Acoustic")</f>
        <v>Acoustic</v>
      </c>
      <c r="J7" s="93" t="s">
        <v>223</v>
      </c>
    </row>
    <row r="8">
      <c r="A8" s="16" t="str">
        <f>IFERROR(__xludf.DUMMYFUNCTION("""COMPUTED_VALUE"""),"Intimidating Song")</f>
        <v>Intimidating Song</v>
      </c>
      <c r="B8" s="16">
        <f>IFERROR(__xludf.DUMMYFUNCTION("""COMPUTED_VALUE"""),1.0)</f>
        <v>1</v>
      </c>
      <c r="C8" s="16">
        <f>IFERROR(__xludf.DUMMYFUNCTION("""COMPUTED_VALUE"""),0.0)</f>
        <v>0</v>
      </c>
      <c r="D8" s="16"/>
      <c r="E8" s="16" t="str">
        <f>IFERROR(__xludf.DUMMYFUNCTION("""COMPUTED_VALUE"""),"+10 Intimidation for 3 rounds.")</f>
        <v>+10 Intimidation for 3 rounds.</v>
      </c>
      <c r="F8" s="16" t="str">
        <f>IFERROR(__xludf.DUMMYFUNCTION("""COMPUTED_VALUE"""),"Natural/Fail or Succeed")</f>
        <v>Natural/Fail or Succeed</v>
      </c>
      <c r="G8" s="16" t="str">
        <f>IFERROR(__xludf.DUMMYFUNCTION("""COMPUTED_VALUE"""),"Self")</f>
        <v>Self</v>
      </c>
      <c r="H8" s="16" t="str">
        <f>IFERROR(__xludf.DUMMYFUNCTION("""COMPUTED_VALUE"""),"Acoustic")</f>
        <v>Acoustic</v>
      </c>
      <c r="J8" s="93" t="s">
        <v>224</v>
      </c>
    </row>
    <row r="9">
      <c r="A9" s="16" t="str">
        <f>IFERROR(__xludf.DUMMYFUNCTION("""COMPUTED_VALUE"""),"Melodic Push")</f>
        <v>Melodic Push</v>
      </c>
      <c r="B9" s="16">
        <f>IFERROR(__xludf.DUMMYFUNCTION("""COMPUTED_VALUE"""),1.0)</f>
        <v>1</v>
      </c>
      <c r="C9" s="16">
        <f>IFERROR(__xludf.DUMMYFUNCTION("""COMPUTED_VALUE"""),0.0)</f>
        <v>0</v>
      </c>
      <c r="D9" s="16"/>
      <c r="E9" s="16" t="str">
        <f>IFERROR(__xludf.DUMMYFUNCTION("""COMPUTED_VALUE"""),"10,000 Acoustic damage.")</f>
        <v>10,000 Acoustic damage.</v>
      </c>
      <c r="F9" s="16" t="str">
        <f>IFERROR(__xludf.DUMMYFUNCTION("""COMPUTED_VALUE"""),"Natural/Fail or Succeed")</f>
        <v>Natural/Fail or Succeed</v>
      </c>
      <c r="G9" s="16">
        <f>IFERROR(__xludf.DUMMYFUNCTION("""COMPUTED_VALUE"""),1.0)</f>
        <v>1</v>
      </c>
      <c r="H9" s="16" t="str">
        <f>IFERROR(__xludf.DUMMYFUNCTION("""COMPUTED_VALUE"""),"Acoustic")</f>
        <v>Acoustic</v>
      </c>
      <c r="J9" s="93"/>
    </row>
    <row r="10">
      <c r="A10" s="16" t="str">
        <f>IFERROR(__xludf.DUMMYFUNCTION("""COMPUTED_VALUE"""),"Serenading Song")</f>
        <v>Serenading Song</v>
      </c>
      <c r="B10" s="16">
        <f>IFERROR(__xludf.DUMMYFUNCTION("""COMPUTED_VALUE"""),1.0)</f>
        <v>1</v>
      </c>
      <c r="C10" s="16">
        <f>IFERROR(__xludf.DUMMYFUNCTION("""COMPUTED_VALUE"""),0.0)</f>
        <v>0</v>
      </c>
      <c r="D10" s="16"/>
      <c r="E10" s="16" t="str">
        <f>IFERROR(__xludf.DUMMYFUNCTION("""COMPUTED_VALUE"""),"+10 Charisma for 3 rounds")</f>
        <v>+10 Charisma for 3 rounds</v>
      </c>
      <c r="F10" s="16" t="str">
        <f>IFERROR(__xludf.DUMMYFUNCTION("""COMPUTED_VALUE"""),"Natural/Fail or Succeed")</f>
        <v>Natural/Fail or Succeed</v>
      </c>
      <c r="G10" s="16" t="str">
        <f>IFERROR(__xludf.DUMMYFUNCTION("""COMPUTED_VALUE"""),"Self")</f>
        <v>Self</v>
      </c>
      <c r="H10" s="16" t="str">
        <f>IFERROR(__xludf.DUMMYFUNCTION("""COMPUTED_VALUE"""),"Acoustic")</f>
        <v>Acoustic</v>
      </c>
      <c r="J10" s="94"/>
    </row>
    <row r="11">
      <c r="A11" s="16" t="str">
        <f>IFERROR(__xludf.DUMMYFUNCTION("""COMPUTED_VALUE"""),"Thrash Sesh")</f>
        <v>Thrash Sesh</v>
      </c>
      <c r="B11" s="16">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J11" s="94"/>
    </row>
    <row r="12">
      <c r="A12" s="16" t="str">
        <f>IFERROR(__xludf.DUMMYFUNCTION("""COMPUTED_VALUE"""),"Astral Beam")</f>
        <v>Astral Beam</v>
      </c>
      <c r="B12" s="16">
        <f>IFERROR(__xludf.DUMMYFUNCTION("""COMPUTED_VALUE"""),2.0)</f>
        <v>2</v>
      </c>
      <c r="C12" s="16" t="str">
        <f>IFERROR(__xludf.DUMMYFUNCTION("""COMPUTED_VALUE"""),"X")</f>
        <v>X</v>
      </c>
      <c r="D12" s="16"/>
      <c r="E12" s="16" t="str">
        <f>IFERROR(__xludf.DUMMYFUNCTION("""COMPUTED_VALUE"""),"X*50 Light damage and X*50 Astral damage to a single target where X is equal to SP.")</f>
        <v>X*50 Light damage and X*50 Astral damage to a single target where X is equal to SP.</v>
      </c>
      <c r="F12" s="16" t="str">
        <f>IFERROR(__xludf.DUMMYFUNCTION("""COMPUTED_VALUE"""),"Hit or Miss")</f>
        <v>Hit or Miss</v>
      </c>
      <c r="G12" s="16">
        <f>IFERROR(__xludf.DUMMYFUNCTION("""COMPUTED_VALUE"""),1.0)</f>
        <v>1</v>
      </c>
      <c r="H12" s="16" t="str">
        <f>IFERROR(__xludf.DUMMYFUNCTION("""COMPUTED_VALUE"""),"Astral")</f>
        <v>Astral</v>
      </c>
      <c r="J12" s="94"/>
    </row>
    <row r="13">
      <c r="A13" s="16" t="str">
        <f>IFERROR(__xludf.DUMMYFUNCTION("""COMPUTED_VALUE"""),"Astral Contact")</f>
        <v>Astral Contact</v>
      </c>
      <c r="B13" s="16">
        <f>IFERROR(__xludf.DUMMYFUNCTION("""COMPUTED_VALUE"""),3.0)</f>
        <v>3</v>
      </c>
      <c r="C13" s="16">
        <f>IFERROR(__xludf.DUMMYFUNCTION("""COMPUTED_VALUE"""),100.0)</f>
        <v>100</v>
      </c>
      <c r="D13" s="16"/>
      <c r="E13" s="16" t="str">
        <f>IFERROR(__xludf.DUMMYFUNCTION("""COMPUTED_VALUE"""),"Increases Astral and Light damage by X2 for caster only.")</f>
        <v>Increases Astral and Light damage by X2 for caster only.</v>
      </c>
      <c r="F13" s="16" t="str">
        <f>IFERROR(__xludf.DUMMYFUNCTION("""COMPUTED_VALUE"""),"Fail/succeed")</f>
        <v>Fail/succeed</v>
      </c>
      <c r="G13" s="16"/>
      <c r="H13" s="16" t="str">
        <f>IFERROR(__xludf.DUMMYFUNCTION("""COMPUTED_VALUE"""),"Astral")</f>
        <v>Astral</v>
      </c>
      <c r="J13" s="94"/>
    </row>
    <row r="14">
      <c r="A14" s="16" t="str">
        <f>IFERROR(__xludf.DUMMYFUNCTION("""COMPUTED_VALUE"""),"Black Hole")</f>
        <v>Black Hole</v>
      </c>
      <c r="B14" s="16">
        <f>IFERROR(__xludf.DUMMYFUNCTION("""COMPUTED_VALUE"""),9.0)</f>
        <v>9</v>
      </c>
      <c r="C14" s="16">
        <f>IFERROR(__xludf.DUMMYFUNCTION("""COMPUTED_VALUE"""),1000.0)</f>
        <v>1000</v>
      </c>
      <c r="D14" s="16"/>
      <c r="E14" s="16" t="str">
        <f>IFERROR(__xludf.DUMMYFUNCTION("""COMPUTED_VALUE"""),"Summon a void that has a 100% chance of instant death to all enemies.")</f>
        <v>Summon a void that has a 100% chance of instant death to all enemies.</v>
      </c>
      <c r="F14" s="16" t="str">
        <f>IFERROR(__xludf.DUMMYFUNCTION("""COMPUTED_VALUE"""),"Cannot be avoided")</f>
        <v>Cannot be avoided</v>
      </c>
      <c r="G14" s="16"/>
      <c r="H14" s="16" t="str">
        <f>IFERROR(__xludf.DUMMYFUNCTION("""COMPUTED_VALUE"""),"Astral")</f>
        <v>Astral</v>
      </c>
      <c r="J14" s="94"/>
    </row>
    <row r="15">
      <c r="A15" s="16" t="str">
        <f>IFERROR(__xludf.DUMMYFUNCTION("""COMPUTED_VALUE"""),"Comet Shower")</f>
        <v>Comet Shower</v>
      </c>
      <c r="B15" s="16">
        <f>IFERROR(__xludf.DUMMYFUNCTION("""COMPUTED_VALUE"""),9.0)</f>
        <v>9</v>
      </c>
      <c r="C15" s="16" t="str">
        <f>IFERROR(__xludf.DUMMYFUNCTION("""COMPUTED_VALUE"""),"X")</f>
        <v>X</v>
      </c>
      <c r="D15" s="16"/>
      <c r="E15" s="16" t="str">
        <f>IFERROR(__xludf.DUMMYFUNCTION("""COMPUTED_VALUE"""),"X*15 Astral and X*15 Light damage to all enemies where X is equal to SP.")</f>
        <v>X*15 Astral and X*15 Light damage to all enemies where X is equal to SP.</v>
      </c>
      <c r="F15" s="16" t="str">
        <f>IFERROR(__xludf.DUMMYFUNCTION("""COMPUTED_VALUE"""),"Cannot be avoided")</f>
        <v>Cannot be avoided</v>
      </c>
      <c r="G15" s="16"/>
      <c r="H15" s="16" t="str">
        <f>IFERROR(__xludf.DUMMYFUNCTION("""COMPUTED_VALUE"""),"Astral")</f>
        <v>Astral</v>
      </c>
      <c r="J15" s="93"/>
    </row>
    <row r="16">
      <c r="A16" s="16" t="str">
        <f>IFERROR(__xludf.DUMMYFUNCTION("""COMPUTED_VALUE"""),"Constellation Strike")</f>
        <v>Constellation Strike</v>
      </c>
      <c r="B16" s="16">
        <f>IFERROR(__xludf.DUMMYFUNCTION("""COMPUTED_VALUE"""),5.0)</f>
        <v>5</v>
      </c>
      <c r="C16" s="16">
        <f>IFERROR(__xludf.DUMMYFUNCTION("""COMPUTED_VALUE"""),1100.0)</f>
        <v>1100</v>
      </c>
      <c r="D16" s="16"/>
      <c r="E16" s="16" t="str">
        <f>IFERROR(__xludf.DUMMYFUNCTION("""COMPUTED_VALUE"""),"25000 Astral dmg + 25000 light dmg, increases Astral damage by X2 for caster only.")</f>
        <v>25000 Astral dmg + 25000 light dmg, increases Astral damage by X2 for caster only.</v>
      </c>
      <c r="F16" s="16" t="str">
        <f>IFERROR(__xludf.DUMMYFUNCTION("""COMPUTED_VALUE"""),"Hit or Miss")</f>
        <v>Hit or Miss</v>
      </c>
      <c r="G16" s="16">
        <f>IFERROR(__xludf.DUMMYFUNCTION("""COMPUTED_VALUE"""),1.0)</f>
        <v>1</v>
      </c>
      <c r="H16" s="16" t="str">
        <f>IFERROR(__xludf.DUMMYFUNCTION("""COMPUTED_VALUE"""),"Astral")</f>
        <v>Astral</v>
      </c>
      <c r="J16" s="94"/>
    </row>
    <row r="17">
      <c r="A17" s="16" t="str">
        <f>IFERROR(__xludf.DUMMYFUNCTION("""COMPUTED_VALUE"""),"Moon Beam")</f>
        <v>Moon Beam</v>
      </c>
      <c r="B17" s="16">
        <f>IFERROR(__xludf.DUMMYFUNCTION("""COMPUTED_VALUE"""),9.0)</f>
        <v>9</v>
      </c>
      <c r="C17" s="16">
        <f>IFERROR(__xludf.DUMMYFUNCTION("""COMPUTED_VALUE"""),200.0)</f>
        <v>200</v>
      </c>
      <c r="D17" s="16"/>
      <c r="E1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17" s="16" t="str">
        <f>IFERROR(__xludf.DUMMYFUNCTION("""COMPUTED_VALUE"""),"Hit/Miss")</f>
        <v>Hit/Miss</v>
      </c>
      <c r="G17" s="16">
        <f>IFERROR(__xludf.DUMMYFUNCTION("""COMPUTED_VALUE"""),1.0)</f>
        <v>1</v>
      </c>
      <c r="H17" s="16" t="str">
        <f>IFERROR(__xludf.DUMMYFUNCTION("""COMPUTED_VALUE"""),"Astral")</f>
        <v>Astral</v>
      </c>
      <c r="J17" s="94"/>
    </row>
    <row r="18">
      <c r="A18" s="16" t="str">
        <f>IFERROR(__xludf.DUMMYFUNCTION("""COMPUTED_VALUE"""),"Moonlight Regen")</f>
        <v>Moonlight Regen</v>
      </c>
      <c r="B18" s="16">
        <f>IFERROR(__xludf.DUMMYFUNCTION("""COMPUTED_VALUE"""),9.0)</f>
        <v>9</v>
      </c>
      <c r="C18" s="16">
        <f>IFERROR(__xludf.DUMMYFUNCTION("""COMPUTED_VALUE"""),400.0)</f>
        <v>400</v>
      </c>
      <c r="D18" s="16"/>
      <c r="E1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18" s="16" t="str">
        <f>IFERROR(__xludf.DUMMYFUNCTION("""COMPUTED_VALUE"""),"Fail/Succeed")</f>
        <v>Fail/Succeed</v>
      </c>
      <c r="G18" s="16" t="str">
        <f>IFERROR(__xludf.DUMMYFUNCTION("""COMPUTED_VALUE"""),"All")</f>
        <v>All</v>
      </c>
      <c r="H18" s="16" t="str">
        <f>IFERROR(__xludf.DUMMYFUNCTION("""COMPUTED_VALUE"""),"Astral")</f>
        <v>Astral</v>
      </c>
      <c r="J18" s="94"/>
    </row>
    <row r="19">
      <c r="A19" s="16" t="str">
        <f>IFERROR(__xludf.DUMMYFUNCTION("""COMPUTED_VALUE"""),"Planetary Meteor Storm")</f>
        <v>Planetary Meteor Storm</v>
      </c>
      <c r="B19" s="16">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J19" s="94"/>
    </row>
    <row r="20">
      <c r="A20" s="16" t="str">
        <f>IFERROR(__xludf.DUMMYFUNCTION("""COMPUTED_VALUE"""),"Protection of Stars.")</f>
        <v>Protection of Stars.</v>
      </c>
      <c r="B20" s="16">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J20" s="94"/>
    </row>
    <row r="21">
      <c r="A21" s="16" t="str">
        <f>IFERROR(__xludf.DUMMYFUNCTION("""COMPUTED_VALUE"""),"Star Storm")</f>
        <v>Star Storm</v>
      </c>
      <c r="B21" s="16">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J21" s="94"/>
    </row>
    <row r="22">
      <c r="A22" s="16" t="str">
        <f>IFERROR(__xludf.DUMMYFUNCTION("""COMPUTED_VALUE"""),"Sunny Day")</f>
        <v>Sunny Day</v>
      </c>
      <c r="B22" s="16">
        <f>IFERROR(__xludf.DUMMYFUNCTION("""COMPUTED_VALUE"""),9.0)</f>
        <v>9</v>
      </c>
      <c r="C22" s="16">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J22" s="94"/>
    </row>
    <row r="23">
      <c r="A23" s="16" t="str">
        <f>IFERROR(__xludf.DUMMYFUNCTION("""COMPUTED_VALUE"""),"Tower of The Universe")</f>
        <v>Tower of The Universe</v>
      </c>
      <c r="B23" s="16">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J23" s="94"/>
    </row>
    <row r="24">
      <c r="A24" s="16" t="str">
        <f>IFERROR(__xludf.DUMMYFUNCTION("""COMPUTED_VALUE"""),"A Worthy Sacrifice")</f>
        <v>A Worthy Sacrifice</v>
      </c>
      <c r="B24" s="16">
        <f>IFERROR(__xludf.DUMMYFUNCTION("""COMPUTED_VALUE"""),9.0)</f>
        <v>9</v>
      </c>
      <c r="C24" s="16"/>
      <c r="D24" s="16" t="str">
        <f>IFERROR(__xludf.DUMMYFUNCTION("""COMPUTED_VALUE"""),"All")</f>
        <v>All</v>
      </c>
      <c r="E24" s="16" t="str">
        <f>IFERROR(__xludf.DUMMYFUNCTION("""COMPUTED_VALUE"""),"Revive all allies by completely depleting your own hp, Cannot resist or be immune to.")</f>
        <v>Revive all allies by completely depleting your own hp, Cannot resist or be immune to.</v>
      </c>
      <c r="F24" s="16" t="str">
        <f>IFERROR(__xludf.DUMMYFUNCTION("""COMPUTED_VALUE"""),"Will Succeed")</f>
        <v>Will Succeed</v>
      </c>
      <c r="G24" s="16"/>
      <c r="H24" s="16" t="str">
        <f>IFERROR(__xludf.DUMMYFUNCTION("""COMPUTED_VALUE"""),"Blood")</f>
        <v>Blood</v>
      </c>
      <c r="J24" s="94"/>
    </row>
    <row r="25">
      <c r="A25" s="16" t="str">
        <f>IFERROR(__xludf.DUMMYFUNCTION("""COMPUTED_VALUE"""),"Absorb Life")</f>
        <v>Absorb Life</v>
      </c>
      <c r="B25" s="16">
        <f>IFERROR(__xludf.DUMMYFUNCTION("""COMPUTED_VALUE"""),1.0)</f>
        <v>1</v>
      </c>
      <c r="C25" s="16"/>
      <c r="D25" s="16">
        <f>IFERROR(__xludf.DUMMYFUNCTION("""COMPUTED_VALUE"""),0.0)</f>
        <v>0</v>
      </c>
      <c r="E25" s="16" t="str">
        <f>IFERROR(__xludf.DUMMYFUNCTION("""COMPUTED_VALUE"""),"Drain X*2 HP from 1 target, where X is equal to your accuracy.")</f>
        <v>Drain X*2 HP from 1 target, where X is equal to your accuracy.</v>
      </c>
      <c r="F25" s="16" t="str">
        <f>IFERROR(__xludf.DUMMYFUNCTION("""COMPUTED_VALUE"""),"Natural/ Hit or Miss")</f>
        <v>Natural/ Hit or Miss</v>
      </c>
      <c r="G25" s="16">
        <f>IFERROR(__xludf.DUMMYFUNCTION("""COMPUTED_VALUE"""),1.0)</f>
        <v>1</v>
      </c>
      <c r="H25" s="16" t="str">
        <f>IFERROR(__xludf.DUMMYFUNCTION("""COMPUTED_VALUE"""),"Blood")</f>
        <v>Blood</v>
      </c>
      <c r="J25" s="94"/>
    </row>
    <row r="26">
      <c r="A26" s="16" t="str">
        <f>IFERROR(__xludf.DUMMYFUNCTION("""COMPUTED_VALUE"""),"Absorbing Blood")</f>
        <v>Absorbing Blood</v>
      </c>
      <c r="B26" s="16">
        <f>IFERROR(__xludf.DUMMYFUNCTION("""COMPUTED_VALUE"""),9.0)</f>
        <v>9</v>
      </c>
      <c r="C26" s="16"/>
      <c r="D26" s="16">
        <f>IFERROR(__xludf.DUMMYFUNCTION("""COMPUTED_VALUE"""),300.0)</f>
        <v>300</v>
      </c>
      <c r="E2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26" s="16" t="str">
        <f>IFERROR(__xludf.DUMMYFUNCTION("""COMPUTED_VALUE"""),"Hit/Miss")</f>
        <v>Hit/Miss</v>
      </c>
      <c r="G26" s="16">
        <f>IFERROR(__xludf.DUMMYFUNCTION("""COMPUTED_VALUE"""),1.0)</f>
        <v>1</v>
      </c>
      <c r="H26" s="16" t="str">
        <f>IFERROR(__xludf.DUMMYFUNCTION("""COMPUTED_VALUE"""),"Blood")</f>
        <v>Blood</v>
      </c>
      <c r="J26" s="94"/>
    </row>
    <row r="27">
      <c r="A27" s="16" t="str">
        <f>IFERROR(__xludf.DUMMYFUNCTION("""COMPUTED_VALUE"""),"Atrophy")</f>
        <v>Atrophy</v>
      </c>
      <c r="B27" s="16">
        <f>IFERROR(__xludf.DUMMYFUNCTION("""COMPUTED_VALUE"""),5.0)</f>
        <v>5</v>
      </c>
      <c r="C27" s="16"/>
      <c r="D27" s="16" t="str">
        <f>IFERROR(__xludf.DUMMYFUNCTION("""COMPUTED_VALUE"""),"X")</f>
        <v>X</v>
      </c>
      <c r="E27" s="16" t="str">
        <f>IFERROR(__xludf.DUMMYFUNCTION("""COMPUTED_VALUE"""),"Deals X*50 Bleed for 3 rounds to a single target where X is equal to HP spent.")</f>
        <v>Deals X*50 Bleed for 3 rounds to a single target where X is equal to HP spent.</v>
      </c>
      <c r="F27" s="16" t="str">
        <f>IFERROR(__xludf.DUMMYFUNCTION("""COMPUTED_VALUE"""),"Hit/Miss")</f>
        <v>Hit/Miss</v>
      </c>
      <c r="G27" s="16">
        <f>IFERROR(__xludf.DUMMYFUNCTION("""COMPUTED_VALUE"""),1.0)</f>
        <v>1</v>
      </c>
      <c r="H27" s="16" t="str">
        <f>IFERROR(__xludf.DUMMYFUNCTION("""COMPUTED_VALUE"""),"Blood")</f>
        <v>Blood</v>
      </c>
      <c r="J27" s="94"/>
    </row>
    <row r="28">
      <c r="A28" s="16" t="str">
        <f>IFERROR(__xludf.DUMMYFUNCTION("""COMPUTED_VALUE"""),"Bleeding Catastrophe")</f>
        <v>Bleeding Catastrophe</v>
      </c>
      <c r="B28" s="16">
        <f>IFERROR(__xludf.DUMMYFUNCTION("""COMPUTED_VALUE"""),9.0)</f>
        <v>9</v>
      </c>
      <c r="C28" s="16"/>
      <c r="D28" s="16">
        <f>IFERROR(__xludf.DUMMYFUNCTION("""COMPUTED_VALUE"""),300.0)</f>
        <v>300</v>
      </c>
      <c r="E28" s="16" t="str">
        <f>IFERROR(__xludf.DUMMYFUNCTION("""COMPUTED_VALUE"""),"An equipped weapon will deal an additional X2 bleeding damage per round for 3 rounds.")</f>
        <v>An equipped weapon will deal an additional X2 bleeding damage per round for 3 rounds.</v>
      </c>
      <c r="F28" s="16" t="str">
        <f>IFERROR(__xludf.DUMMYFUNCTION("""COMPUTED_VALUE"""),"Will Succeed")</f>
        <v>Will Succeed</v>
      </c>
      <c r="G28" s="16"/>
      <c r="H28" s="16" t="str">
        <f>IFERROR(__xludf.DUMMYFUNCTION("""COMPUTED_VALUE"""),"Blood")</f>
        <v>Blood</v>
      </c>
      <c r="J28" s="94"/>
    </row>
    <row r="29">
      <c r="A29" s="16" t="str">
        <f>IFERROR(__xludf.DUMMYFUNCTION("""COMPUTED_VALUE"""),"Blood Barrage")</f>
        <v>Blood Barrage</v>
      </c>
      <c r="B29" s="16">
        <f>IFERROR(__xludf.DUMMYFUNCTION("""COMPUTED_VALUE"""),6.0)</f>
        <v>6</v>
      </c>
      <c r="C29" s="16"/>
      <c r="D29" s="16" t="str">
        <f>IFERROR(__xludf.DUMMYFUNCTION("""COMPUTED_VALUE"""),"1d20*10")</f>
        <v>1d20*10</v>
      </c>
      <c r="E29" s="16" t="str">
        <f>IFERROR(__xludf.DUMMYFUNCTION("""COMPUTED_VALUE"""),"Drains 1d20*1000 HP.")</f>
        <v>Drains 1d20*1000 HP.</v>
      </c>
      <c r="F29" s="16" t="str">
        <f>IFERROR(__xludf.DUMMYFUNCTION("""COMPUTED_VALUE"""),"Hit/Miss")</f>
        <v>Hit/Miss</v>
      </c>
      <c r="G29" s="16">
        <f>IFERROR(__xludf.DUMMYFUNCTION("""COMPUTED_VALUE"""),1.0)</f>
        <v>1</v>
      </c>
      <c r="H29" s="16" t="str">
        <f>IFERROR(__xludf.DUMMYFUNCTION("""COMPUTED_VALUE"""),"Blood")</f>
        <v>Blood</v>
      </c>
      <c r="J29" s="94"/>
    </row>
    <row r="30">
      <c r="A30" s="16" t="str">
        <f>IFERROR(__xludf.DUMMYFUNCTION("""COMPUTED_VALUE"""),"Blood Bolt")</f>
        <v>Blood Bolt</v>
      </c>
      <c r="B30" s="16">
        <f>IFERROR(__xludf.DUMMYFUNCTION("""COMPUTED_VALUE"""),1.0)</f>
        <v>1</v>
      </c>
      <c r="C30" s="16"/>
      <c r="D30" s="16" t="str">
        <f>IFERROR(__xludf.DUMMYFUNCTION("""COMPUTED_VALUE"""),"X")</f>
        <v>X</v>
      </c>
      <c r="E30" s="16" t="str">
        <f>IFERROR(__xludf.DUMMYFUNCTION("""COMPUTED_VALUE"""),"Deals X*100 Blood damage to a single enemy where X is equal to HP spent.")</f>
        <v>Deals X*100 Blood damage to a single enemy where X is equal to HP spent.</v>
      </c>
      <c r="F30" s="16" t="str">
        <f>IFERROR(__xludf.DUMMYFUNCTION("""COMPUTED_VALUE"""),"Hit/Miss")</f>
        <v>Hit/Miss</v>
      </c>
      <c r="G30" s="16">
        <f>IFERROR(__xludf.DUMMYFUNCTION("""COMPUTED_VALUE"""),1.0)</f>
        <v>1</v>
      </c>
      <c r="H30" s="16" t="str">
        <f>IFERROR(__xludf.DUMMYFUNCTION("""COMPUTED_VALUE"""),"Blood")</f>
        <v>Blood</v>
      </c>
      <c r="J30" s="94"/>
    </row>
    <row r="31">
      <c r="A31" s="16" t="str">
        <f>IFERROR(__xludf.DUMMYFUNCTION("""COMPUTED_VALUE"""),"Blood Fire")</f>
        <v>Blood Fire</v>
      </c>
      <c r="B31" s="16">
        <f>IFERROR(__xludf.DUMMYFUNCTION("""COMPUTED_VALUE"""),5.0)</f>
        <v>5</v>
      </c>
      <c r="C31" s="16"/>
      <c r="D31" s="16" t="str">
        <f>IFERROR(__xludf.DUMMYFUNCTION("""COMPUTED_VALUE"""),"X")</f>
        <v>X</v>
      </c>
      <c r="E31" s="16" t="str">
        <f>IFERROR(__xludf.DUMMYFUNCTION("""COMPUTED_VALUE"""),"X*50 Blood and X*50 Fire Damage where X is equal to HP spent.")</f>
        <v>X*50 Blood and X*50 Fire Damage where X is equal to HP spent.</v>
      </c>
      <c r="F31" s="16" t="str">
        <f>IFERROR(__xludf.DUMMYFUNCTION("""COMPUTED_VALUE"""),"Hit/Miss")</f>
        <v>Hit/Miss</v>
      </c>
      <c r="G31" s="16">
        <f>IFERROR(__xludf.DUMMYFUNCTION("""COMPUTED_VALUE"""),1.0)</f>
        <v>1</v>
      </c>
      <c r="H31" s="16" t="str">
        <f>IFERROR(__xludf.DUMMYFUNCTION("""COMPUTED_VALUE"""),"Blood")</f>
        <v>Blood</v>
      </c>
      <c r="J31" s="94"/>
    </row>
    <row r="32">
      <c r="A32" s="16" t="str">
        <f>IFERROR(__xludf.DUMMYFUNCTION("""COMPUTED_VALUE"""),"Blood Geyser")</f>
        <v>Blood Geyser</v>
      </c>
      <c r="B32" s="16">
        <f>IFERROR(__xludf.DUMMYFUNCTION("""COMPUTED_VALUE"""),7.0)</f>
        <v>7</v>
      </c>
      <c r="C32" s="16"/>
      <c r="D32" s="16">
        <f>IFERROR(__xludf.DUMMYFUNCTION("""COMPUTED_VALUE"""),600.0)</f>
        <v>600</v>
      </c>
      <c r="E3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2" s="16" t="str">
        <f>IFERROR(__xludf.DUMMYFUNCTION("""COMPUTED_VALUE"""),"Cannot Avoid")</f>
        <v>Cannot Avoid</v>
      </c>
      <c r="G32" s="16"/>
      <c r="H32" s="16" t="str">
        <f>IFERROR(__xludf.DUMMYFUNCTION("""COMPUTED_VALUE"""),"Blood")</f>
        <v>Blood</v>
      </c>
      <c r="J32" s="94"/>
    </row>
    <row r="33">
      <c r="A33" s="16" t="str">
        <f>IFERROR(__xludf.DUMMYFUNCTION("""COMPUTED_VALUE"""),"Blood Rejuvenation")</f>
        <v>Blood Rejuvenation</v>
      </c>
      <c r="B33" s="16">
        <f>IFERROR(__xludf.DUMMYFUNCTION("""COMPUTED_VALUE"""),5.0)</f>
        <v>5</v>
      </c>
      <c r="C33" s="16"/>
      <c r="D33" s="16" t="str">
        <f>IFERROR(__xludf.DUMMYFUNCTION("""COMPUTED_VALUE"""),"X")</f>
        <v>X</v>
      </c>
      <c r="E33" s="16" t="str">
        <f>IFERROR(__xludf.DUMMYFUNCTION("""COMPUTED_VALUE"""),"Restores X*50 HP to target for 3 rounds. Cannot be used on self")</f>
        <v>Restores X*50 HP to target for 3 rounds. Cannot be used on self</v>
      </c>
      <c r="F33" s="16" t="str">
        <f>IFERROR(__xludf.DUMMYFUNCTION("""COMPUTED_VALUE"""),"Fail/Succeed")</f>
        <v>Fail/Succeed</v>
      </c>
      <c r="G33" s="16"/>
      <c r="H33" s="16" t="str">
        <f>IFERROR(__xludf.DUMMYFUNCTION("""COMPUTED_VALUE"""),"Blood")</f>
        <v>Blood</v>
      </c>
      <c r="J33" s="94"/>
    </row>
    <row r="34">
      <c r="A34" s="16" t="str">
        <f>IFERROR(__xludf.DUMMYFUNCTION("""COMPUTED_VALUE"""),"Blood Siphon")</f>
        <v>Blood Siphon</v>
      </c>
      <c r="B34" s="16">
        <f>IFERROR(__xludf.DUMMYFUNCTION("""COMPUTED_VALUE"""),5.0)</f>
        <v>5</v>
      </c>
      <c r="C34" s="16"/>
      <c r="D34" s="16" t="str">
        <f>IFERROR(__xludf.DUMMYFUNCTION("""COMPUTED_VALUE"""),"X")</f>
        <v>X</v>
      </c>
      <c r="E34" s="16" t="str">
        <f>IFERROR(__xludf.DUMMYFUNCTION("""COMPUTED_VALUE"""),"Drain X*100 HP from target where X is equal to HP spent.")</f>
        <v>Drain X*100 HP from target where X is equal to HP spent.</v>
      </c>
      <c r="F34" s="16" t="str">
        <f>IFERROR(__xludf.DUMMYFUNCTION("""COMPUTED_VALUE"""),"Hit/Miss")</f>
        <v>Hit/Miss</v>
      </c>
      <c r="G34" s="16"/>
      <c r="H34" s="16" t="str">
        <f>IFERROR(__xludf.DUMMYFUNCTION("""COMPUTED_VALUE"""),"Blood")</f>
        <v>Blood</v>
      </c>
      <c r="J34" s="94"/>
    </row>
    <row r="35">
      <c r="A35" s="16" t="str">
        <f>IFERROR(__xludf.DUMMYFUNCTION("""COMPUTED_VALUE"""),"Blood Spray")</f>
        <v>Blood Spray</v>
      </c>
      <c r="B35" s="16">
        <f>IFERROR(__xludf.DUMMYFUNCTION("""COMPUTED_VALUE"""),5.0)</f>
        <v>5</v>
      </c>
      <c r="C35" s="16"/>
      <c r="D35" s="16" t="str">
        <f>IFERROR(__xludf.DUMMYFUNCTION("""COMPUTED_VALUE"""),"X")</f>
        <v>X</v>
      </c>
      <c r="E35" s="16" t="str">
        <f>IFERROR(__xludf.DUMMYFUNCTION("""COMPUTED_VALUE"""),"Deals X*25 Blood damage to all enemies where X is equal to HP spent.")</f>
        <v>Deals X*25 Blood damage to all enemies where X is equal to HP spent.</v>
      </c>
      <c r="F35" s="16" t="str">
        <f>IFERROR(__xludf.DUMMYFUNCTION("""COMPUTED_VALUE"""),"Cannot Avoid")</f>
        <v>Cannot Avoid</v>
      </c>
      <c r="G35" s="16" t="str">
        <f>IFERROR(__xludf.DUMMYFUNCTION("""COMPUTED_VALUE"""),"All")</f>
        <v>All</v>
      </c>
      <c r="H35" s="16" t="str">
        <f>IFERROR(__xludf.DUMMYFUNCTION("""COMPUTED_VALUE"""),"Blood")</f>
        <v>Blood</v>
      </c>
      <c r="J35" s="94"/>
    </row>
    <row r="36">
      <c r="A36" s="16" t="str">
        <f>IFERROR(__xludf.DUMMYFUNCTION("""COMPUTED_VALUE"""),"Blood Transfusion")</f>
        <v>Blood Transfusion</v>
      </c>
      <c r="B36" s="16">
        <f>IFERROR(__xludf.DUMMYFUNCTION("""COMPUTED_VALUE"""),4.0)</f>
        <v>4</v>
      </c>
      <c r="C36" s="16"/>
      <c r="D36" s="16" t="str">
        <f>IFERROR(__xludf.DUMMYFUNCTION("""COMPUTED_VALUE"""),"d100")</f>
        <v>d100</v>
      </c>
      <c r="E3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36" s="16" t="str">
        <f>IFERROR(__xludf.DUMMYFUNCTION("""COMPUTED_VALUE"""),"Fail/Succeed")</f>
        <v>Fail/Succeed</v>
      </c>
      <c r="G36" s="16"/>
      <c r="H36" s="16" t="str">
        <f>IFERROR(__xludf.DUMMYFUNCTION("""COMPUTED_VALUE"""),"Blood")</f>
        <v>Blood</v>
      </c>
      <c r="J36" s="94"/>
    </row>
    <row r="37">
      <c r="A37" s="16" t="str">
        <f>IFERROR(__xludf.DUMMYFUNCTION("""COMPUTED_VALUE"""),"Bloody Alliance")</f>
        <v>Bloody Alliance</v>
      </c>
      <c r="B37" s="16">
        <f>IFERROR(__xludf.DUMMYFUNCTION("""COMPUTED_VALUE"""),9.0)</f>
        <v>9</v>
      </c>
      <c r="C37" s="16"/>
      <c r="D37" s="16" t="str">
        <f>IFERROR(__xludf.DUMMYFUNCTION("""COMPUTED_VALUE"""),"X*1000")</f>
        <v>X*1000</v>
      </c>
      <c r="E37" s="16" t="str">
        <f>IFERROR(__xludf.DUMMYFUNCTION("""COMPUTED_VALUE"""),"Select up to 3 target's to gain SP equal to the damage you take from the next incoming attack.")</f>
        <v>Select up to 3 target's to gain SP equal to the damage you take from the next incoming attack.</v>
      </c>
      <c r="F37" s="16" t="str">
        <f>IFERROR(__xludf.DUMMYFUNCTION("""COMPUTED_VALUE"""),"Fail/Succeed")</f>
        <v>Fail/Succeed</v>
      </c>
      <c r="G37" s="16" t="str">
        <f>IFERROR(__xludf.DUMMYFUNCTION("""COMPUTED_VALUE"""),"X")</f>
        <v>X</v>
      </c>
      <c r="H37" s="16" t="str">
        <f>IFERROR(__xludf.DUMMYFUNCTION("""COMPUTED_VALUE"""),"Blood")</f>
        <v>Blood</v>
      </c>
      <c r="J37" s="94"/>
    </row>
    <row r="38">
      <c r="A38" s="16" t="str">
        <f>IFERROR(__xludf.DUMMYFUNCTION("""COMPUTED_VALUE"""),"Bloody Knuckles")</f>
        <v>Bloody Knuckles</v>
      </c>
      <c r="B38" s="16">
        <f>IFERROR(__xludf.DUMMYFUNCTION("""COMPUTED_VALUE"""),4.0)</f>
        <v>4</v>
      </c>
      <c r="C38" s="16"/>
      <c r="D38" s="16">
        <f>IFERROR(__xludf.DUMMYFUNCTION("""COMPUTED_VALUE"""),40.0)</f>
        <v>40</v>
      </c>
      <c r="E38" s="16" t="str">
        <f>IFERROR(__xludf.DUMMYFUNCTION("""COMPUTED_VALUE"""),"X2 additional bleeding damage for weapons and spells.")</f>
        <v>X2 additional bleeding damage for weapons and spells.</v>
      </c>
      <c r="F38" s="16" t="str">
        <f>IFERROR(__xludf.DUMMYFUNCTION("""COMPUTED_VALUE"""),"Fail/Succeed")</f>
        <v>Fail/Succeed</v>
      </c>
      <c r="G38" s="16"/>
      <c r="H38" s="16" t="str">
        <f>IFERROR(__xludf.DUMMYFUNCTION("""COMPUTED_VALUE"""),"Blood")</f>
        <v>Blood</v>
      </c>
      <c r="J38" s="94"/>
    </row>
    <row r="39">
      <c r="A39" s="16" t="str">
        <f>IFERROR(__xludf.DUMMYFUNCTION("""COMPUTED_VALUE"""),"Callous Sacrifice")</f>
        <v>Callous Sacrifice</v>
      </c>
      <c r="B39" s="16">
        <f>IFERROR(__xludf.DUMMYFUNCTION("""COMPUTED_VALUE"""),8.0)</f>
        <v>8</v>
      </c>
      <c r="C39" s="16" t="str">
        <f>IFERROR(__xludf.DUMMYFUNCTION("""COMPUTED_VALUE"""),"X*300")</f>
        <v>X*300</v>
      </c>
      <c r="D39" s="16">
        <f>IFERROR(__xludf.DUMMYFUNCTION("""COMPUTED_VALUE"""),200.0)</f>
        <v>200</v>
      </c>
      <c r="E39" s="16" t="str">
        <f>IFERROR(__xludf.DUMMYFUNCTION("""COMPUTED_VALUE"""),"Sacrifice a party member. All enemies take 6* sacrificed party member’s Max HP.")</f>
        <v>Sacrifice a party member. All enemies take 6* sacrificed party member’s Max HP.</v>
      </c>
      <c r="F39" s="16" t="str">
        <f>IFERROR(__xludf.DUMMYFUNCTION("""COMPUTED_VALUE"""),"Fail/Succeed")</f>
        <v>Fail/Succeed</v>
      </c>
      <c r="G39" s="16"/>
      <c r="H39" s="16" t="str">
        <f>IFERROR(__xludf.DUMMYFUNCTION("""COMPUTED_VALUE"""),"Blood")</f>
        <v>Blood</v>
      </c>
      <c r="J39" s="94"/>
    </row>
    <row r="40">
      <c r="A40" s="16" t="str">
        <f>IFERROR(__xludf.DUMMYFUNCTION("""COMPUTED_VALUE"""),"Damage With A Cost.")</f>
        <v>Damage With A Cost.</v>
      </c>
      <c r="B40" s="16">
        <f>IFERROR(__xludf.DUMMYFUNCTION("""COMPUTED_VALUE"""),9.0)</f>
        <v>9</v>
      </c>
      <c r="C40" s="16"/>
      <c r="D40" s="16">
        <f>IFERROR(__xludf.DUMMYFUNCTION("""COMPUTED_VALUE"""),1000.0)</f>
        <v>1000</v>
      </c>
      <c r="E40" s="16" t="str">
        <f>IFERROR(__xludf.DUMMYFUNCTION("""COMPUTED_VALUE"""),"For 3 rounds enemies will take the same amount of damage you or your allies take.")</f>
        <v>For 3 rounds enemies will take the same amount of damage you or your allies take.</v>
      </c>
      <c r="F40" s="16" t="str">
        <f>IFERROR(__xludf.DUMMYFUNCTION("""COMPUTED_VALUE"""),"Fail/Succeed")</f>
        <v>Fail/Succeed</v>
      </c>
      <c r="G40" s="16"/>
      <c r="H40" s="16" t="str">
        <f>IFERROR(__xludf.DUMMYFUNCTION("""COMPUTED_VALUE"""),"Blood")</f>
        <v>Blood</v>
      </c>
      <c r="J40" s="94"/>
    </row>
    <row r="41">
      <c r="A41" s="16" t="str">
        <f>IFERROR(__xludf.DUMMYFUNCTION("""COMPUTED_VALUE"""),"Mass Blood Control")</f>
        <v>Mass Blood Control</v>
      </c>
      <c r="B41" s="16">
        <f>IFERROR(__xludf.DUMMYFUNCTION("""COMPUTED_VALUE"""),6.0)</f>
        <v>6</v>
      </c>
      <c r="C41" s="16"/>
      <c r="D41" s="16" t="str">
        <f>IFERROR(__xludf.DUMMYFUNCTION("""COMPUTED_VALUE"""),"X")</f>
        <v>X</v>
      </c>
      <c r="E41" s="16" t="str">
        <f>IFERROR(__xludf.DUMMYFUNCTION("""COMPUTED_VALUE"""),"Deals X*10 Bleed to all enemies for 3 rounds where X is equal to HP spent.")</f>
        <v>Deals X*10 Bleed to all enemies for 3 rounds where X is equal to HP spent.</v>
      </c>
      <c r="F41" s="16" t="str">
        <f>IFERROR(__xludf.DUMMYFUNCTION("""COMPUTED_VALUE"""),"Cannot Avoid")</f>
        <v>Cannot Avoid</v>
      </c>
      <c r="G41" s="16" t="str">
        <f>IFERROR(__xludf.DUMMYFUNCTION("""COMPUTED_VALUE"""),"All")</f>
        <v>All</v>
      </c>
      <c r="H41" s="16" t="str">
        <f>IFERROR(__xludf.DUMMYFUNCTION("""COMPUTED_VALUE"""),"Blood")</f>
        <v>Blood</v>
      </c>
      <c r="J41" s="94"/>
    </row>
    <row r="42">
      <c r="A42" s="16" t="str">
        <f>IFERROR(__xludf.DUMMYFUNCTION("""COMPUTED_VALUE"""),"One For Another")</f>
        <v>One For Another</v>
      </c>
      <c r="B42" s="16">
        <f>IFERROR(__xludf.DUMMYFUNCTION("""COMPUTED_VALUE"""),6.0)</f>
        <v>6</v>
      </c>
      <c r="C42" s="16"/>
      <c r="D42" s="16" t="str">
        <f>IFERROR(__xludf.DUMMYFUNCTION("""COMPUTED_VALUE"""),"X")</f>
        <v>X</v>
      </c>
      <c r="E42" s="16" t="str">
        <f>IFERROR(__xludf.DUMMYFUNCTION("""COMPUTED_VALUE"""),"Drain all but 1HP from a party member to Drain all but 1HP from 1 enemy.")</f>
        <v>Drain all but 1HP from a party member to Drain all but 1HP from 1 enemy.</v>
      </c>
      <c r="F42" s="16" t="str">
        <f>IFERROR(__xludf.DUMMYFUNCTION("""COMPUTED_VALUE"""),"Hit/Miss")</f>
        <v>Hit/Miss</v>
      </c>
      <c r="G42" s="16">
        <f>IFERROR(__xludf.DUMMYFUNCTION("""COMPUTED_VALUE"""),1.0)</f>
        <v>1</v>
      </c>
      <c r="H42" s="16" t="str">
        <f>IFERROR(__xludf.DUMMYFUNCTION("""COMPUTED_VALUE"""),"Blood")</f>
        <v>Blood</v>
      </c>
      <c r="J42" s="94"/>
    </row>
    <row r="43">
      <c r="A43" s="16" t="str">
        <f>IFERROR(__xludf.DUMMYFUNCTION("""COMPUTED_VALUE"""),"Purified Blood")</f>
        <v>Purified Blood</v>
      </c>
      <c r="B43" s="16">
        <f>IFERROR(__xludf.DUMMYFUNCTION("""COMPUTED_VALUE"""),6.0)</f>
        <v>6</v>
      </c>
      <c r="C43" s="16"/>
      <c r="D43" s="16">
        <f>IFERROR(__xludf.DUMMYFUNCTION("""COMPUTED_VALUE"""),60.0)</f>
        <v>60</v>
      </c>
      <c r="E43" s="16" t="str">
        <f>IFERROR(__xludf.DUMMYFUNCTION("""COMPUTED_VALUE"""),"Cure a target of the Bleed effect, or drain 10,000 health from an undead creature.")</f>
        <v>Cure a target of the Bleed effect, or drain 10,000 health from an undead creature.</v>
      </c>
      <c r="F43" s="16" t="str">
        <f>IFERROR(__xludf.DUMMYFUNCTION("""COMPUTED_VALUE"""),"Hit/Miss")</f>
        <v>Hit/Miss</v>
      </c>
      <c r="G43" s="16">
        <f>IFERROR(__xludf.DUMMYFUNCTION("""COMPUTED_VALUE"""),1.0)</f>
        <v>1</v>
      </c>
      <c r="H43" s="16" t="str">
        <f>IFERROR(__xludf.DUMMYFUNCTION("""COMPUTED_VALUE"""),"Blood")</f>
        <v>Blood</v>
      </c>
      <c r="J43" s="94"/>
    </row>
    <row r="44">
      <c r="A44" s="16" t="str">
        <f>IFERROR(__xludf.DUMMYFUNCTION("""COMPUTED_VALUE"""),"Tainted Blood")</f>
        <v>Tainted Blood</v>
      </c>
      <c r="B44" s="16">
        <f>IFERROR(__xludf.DUMMYFUNCTION("""COMPUTED_VALUE"""),6.0)</f>
        <v>6</v>
      </c>
      <c r="C44" s="16"/>
      <c r="D44" s="16">
        <f>IFERROR(__xludf.DUMMYFUNCTION("""COMPUTED_VALUE"""),60.0)</f>
        <v>60</v>
      </c>
      <c r="E44" s="16" t="str">
        <f>IFERROR(__xludf.DUMMYFUNCTION("""COMPUTED_VALUE"""),"Inflict Undead (Dark) for 3 rounds to 1 target.")</f>
        <v>Inflict Undead (Dark) for 3 rounds to 1 target.</v>
      </c>
      <c r="F44" s="16" t="str">
        <f>IFERROR(__xludf.DUMMYFUNCTION("""COMPUTED_VALUE"""),"Fail/Succeed")</f>
        <v>Fail/Succeed</v>
      </c>
      <c r="G44" s="16"/>
      <c r="H44" s="16" t="str">
        <f>IFERROR(__xludf.DUMMYFUNCTION("""COMPUTED_VALUE"""),"Blood")</f>
        <v>Blood</v>
      </c>
      <c r="J44" s="94"/>
    </row>
    <row r="45">
      <c r="A45" s="16" t="str">
        <f>IFERROR(__xludf.DUMMYFUNCTION("""COMPUTED_VALUE"""),"Celestial Blast")</f>
        <v>Celestial Blast</v>
      </c>
      <c r="B45" s="16">
        <f>IFERROR(__xludf.DUMMYFUNCTION("""COMPUTED_VALUE"""),6.0)</f>
        <v>6</v>
      </c>
      <c r="C45" s="16" t="str">
        <f>IFERROR(__xludf.DUMMYFUNCTION("""COMPUTED_VALUE"""),"X*100")</f>
        <v>X*100</v>
      </c>
      <c r="D45" s="16"/>
      <c r="E45" s="16" t="str">
        <f>IFERROR(__xludf.DUMMYFUNCTION("""COMPUTED_VALUE"""),"Pay X amount of mana for celestial dmg and times the damage by 5000.")</f>
        <v>Pay X amount of mana for celestial dmg and times the damage by 5000.</v>
      </c>
      <c r="F45" s="16" t="str">
        <f>IFERROR(__xludf.DUMMYFUNCTION("""COMPUTED_VALUE"""),"Hit or Miss")</f>
        <v>Hit or Miss</v>
      </c>
      <c r="G45" s="16">
        <f>IFERROR(__xludf.DUMMYFUNCTION("""COMPUTED_VALUE"""),1.0)</f>
        <v>1</v>
      </c>
      <c r="H45" s="16" t="str">
        <f>IFERROR(__xludf.DUMMYFUNCTION("""COMPUTED_VALUE"""),"Celestial")</f>
        <v>Celestial</v>
      </c>
      <c r="J45" s="94"/>
    </row>
    <row r="46">
      <c r="A46" s="16" t="str">
        <f>IFERROR(__xludf.DUMMYFUNCTION("""COMPUTED_VALUE"""),"Celestial Increase I")</f>
        <v>Celestial Increase I</v>
      </c>
      <c r="B46" s="16">
        <f>IFERROR(__xludf.DUMMYFUNCTION("""COMPUTED_VALUE"""),2.0)</f>
        <v>2</v>
      </c>
      <c r="C46" s="16">
        <f>IFERROR(__xludf.DUMMYFUNCTION("""COMPUTED_VALUE"""),200.0)</f>
        <v>200</v>
      </c>
      <c r="D46" s="16"/>
      <c r="E46" s="16" t="str">
        <f>IFERROR(__xludf.DUMMYFUNCTION("""COMPUTED_VALUE"""),"X2 additional Celestial dmg for self + X2 attack and accuracy for self.")</f>
        <v>X2 additional Celestial dmg for self + X2 attack and accuracy for self.</v>
      </c>
      <c r="F46" s="16" t="str">
        <f>IFERROR(__xludf.DUMMYFUNCTION("""COMPUTED_VALUE"""),"Will Succeed")</f>
        <v>Will Succeed</v>
      </c>
      <c r="G46" s="16"/>
      <c r="H46" s="16" t="str">
        <f>IFERROR(__xludf.DUMMYFUNCTION("""COMPUTED_VALUE"""),"Celestial")</f>
        <v>Celestial</v>
      </c>
      <c r="J46" s="94"/>
    </row>
    <row r="47">
      <c r="A47" s="16" t="str">
        <f>IFERROR(__xludf.DUMMYFUNCTION("""COMPUTED_VALUE"""),"Celestial Increase II")</f>
        <v>Celestial Increase II</v>
      </c>
      <c r="B47" s="16">
        <f>IFERROR(__xludf.DUMMYFUNCTION("""COMPUTED_VALUE"""),3.0)</f>
        <v>3</v>
      </c>
      <c r="C47" s="16">
        <f>IFERROR(__xludf.DUMMYFUNCTION("""COMPUTED_VALUE"""),300.0)</f>
        <v>300</v>
      </c>
      <c r="D47" s="16"/>
      <c r="E47" s="16" t="str">
        <f>IFERROR(__xludf.DUMMYFUNCTION("""COMPUTED_VALUE"""),"X4 Celestial dmg for self + X4 attack and accuracy for self.")</f>
        <v>X4 Celestial dmg for self + X4 attack and accuracy for self.</v>
      </c>
      <c r="F47" s="16" t="str">
        <f>IFERROR(__xludf.DUMMYFUNCTION("""COMPUTED_VALUE"""),"Will Succeed")</f>
        <v>Will Succeed</v>
      </c>
      <c r="G47" s="16"/>
      <c r="H47" s="16" t="str">
        <f>IFERROR(__xludf.DUMMYFUNCTION("""COMPUTED_VALUE"""),"Celestial")</f>
        <v>Celestial</v>
      </c>
      <c r="J47" s="94"/>
    </row>
    <row r="48">
      <c r="A48" s="16" t="str">
        <f>IFERROR(__xludf.DUMMYFUNCTION("""COMPUTED_VALUE"""),"Celestial Portal")</f>
        <v>Celestial Portal</v>
      </c>
      <c r="B48" s="16">
        <f>IFERROR(__xludf.DUMMYFUNCTION("""COMPUTED_VALUE"""),2.0)</f>
        <v>2</v>
      </c>
      <c r="C48" s="16">
        <f>IFERROR(__xludf.DUMMYFUNCTION("""COMPUTED_VALUE"""),200.0)</f>
        <v>200</v>
      </c>
      <c r="D48" s="16"/>
      <c r="E48" s="16" t="str">
        <f>IFERROR(__xludf.DUMMYFUNCTION("""COMPUTED_VALUE"""),"6000 celestial continuous damage to one target.")</f>
        <v>6000 celestial continuous damage to one target.</v>
      </c>
      <c r="F48" s="16" t="str">
        <f>IFERROR(__xludf.DUMMYFUNCTION("""COMPUTED_VALUE"""),"Hit or Miss")</f>
        <v>Hit or Miss</v>
      </c>
      <c r="G48" s="16">
        <f>IFERROR(__xludf.DUMMYFUNCTION("""COMPUTED_VALUE"""),1.0)</f>
        <v>1</v>
      </c>
      <c r="H48" s="16" t="str">
        <f>IFERROR(__xludf.DUMMYFUNCTION("""COMPUTED_VALUE"""),"Celestial")</f>
        <v>Celestial</v>
      </c>
      <c r="J48" s="94"/>
    </row>
    <row r="49">
      <c r="A49" s="16" t="str">
        <f>IFERROR(__xludf.DUMMYFUNCTION("""COMPUTED_VALUE"""),"Celestial Shield")</f>
        <v>Celestial Shield</v>
      </c>
      <c r="B49" s="16">
        <f>IFERROR(__xludf.DUMMYFUNCTION("""COMPUTED_VALUE"""),4.0)</f>
        <v>4</v>
      </c>
      <c r="C49" s="16">
        <f>IFERROR(__xludf.DUMMYFUNCTION("""COMPUTED_VALUE"""),400.0)</f>
        <v>400</v>
      </c>
      <c r="D49" s="16"/>
      <c r="E49" s="16" t="str">
        <f>IFERROR(__xludf.DUMMYFUNCTION("""COMPUTED_VALUE"""),"Gives caster X2 def, and X2 resistance to astral dmg. (can only be used once per battle)")</f>
        <v>Gives caster X2 def, and X2 resistance to astral dmg. (can only be used once per battle)</v>
      </c>
      <c r="F49" s="16" t="str">
        <f>IFERROR(__xludf.DUMMYFUNCTION("""COMPUTED_VALUE"""),"Will Succeed")</f>
        <v>Will Succeed</v>
      </c>
      <c r="G49" s="16"/>
      <c r="H49" s="16" t="str">
        <f>IFERROR(__xludf.DUMMYFUNCTION("""COMPUTED_VALUE"""),"Celestial")</f>
        <v>Celestial</v>
      </c>
      <c r="J49" s="94"/>
    </row>
    <row r="50">
      <c r="A50" s="16" t="str">
        <f>IFERROR(__xludf.DUMMYFUNCTION("""COMPUTED_VALUE"""),"Celestial Strike")</f>
        <v>Celestial Strike</v>
      </c>
      <c r="B50" s="16">
        <f>IFERROR(__xludf.DUMMYFUNCTION("""COMPUTED_VALUE"""),1.0)</f>
        <v>1</v>
      </c>
      <c r="C50" s="16">
        <f>IFERROR(__xludf.DUMMYFUNCTION("""COMPUTED_VALUE"""),100.0)</f>
        <v>100</v>
      </c>
      <c r="D50" s="16"/>
      <c r="E50" s="16" t="str">
        <f>IFERROR(__xludf.DUMMYFUNCTION("""COMPUTED_VALUE"""),"6000 celestial damage, X2 attack and accuracy for self if you hit the target..")</f>
        <v>6000 celestial damage, X2 attack and accuracy for self if you hit the target..</v>
      </c>
      <c r="F50" s="16" t="str">
        <f>IFERROR(__xludf.DUMMYFUNCTION("""COMPUTED_VALUE"""),"Hit/Miss")</f>
        <v>Hit/Miss</v>
      </c>
      <c r="G50" s="16">
        <f>IFERROR(__xludf.DUMMYFUNCTION("""COMPUTED_VALUE"""),1.0)</f>
        <v>1</v>
      </c>
      <c r="H50" s="16" t="str">
        <f>IFERROR(__xludf.DUMMYFUNCTION("""COMPUTED_VALUE"""),"Celestial")</f>
        <v>Celestial</v>
      </c>
      <c r="J50" s="95"/>
    </row>
    <row r="51">
      <c r="A51" s="16" t="str">
        <f>IFERROR(__xludf.DUMMYFUNCTION("""COMPUTED_VALUE"""),"Celestial Summon")</f>
        <v>Celestial Summon</v>
      </c>
      <c r="B51" s="16">
        <f>IFERROR(__xludf.DUMMYFUNCTION("""COMPUTED_VALUE"""),8.0)</f>
        <v>8</v>
      </c>
      <c r="C51" s="16">
        <f>IFERROR(__xludf.DUMMYFUNCTION("""COMPUTED_VALUE"""),800.0)</f>
        <v>800</v>
      </c>
      <c r="D51" s="16"/>
      <c r="E51" s="16" t="str">
        <f>IFERROR(__xludf.DUMMYFUNCTION("""COMPUTED_VALUE"""),"Summon a mob as an ally. Level and Mob is determined by DM/GM.  ")</f>
        <v>Summon a mob as an ally. Level and Mob is determined by DM/GM.  </v>
      </c>
      <c r="F51" s="16" t="str">
        <f>IFERROR(__xludf.DUMMYFUNCTION("""COMPUTED_VALUE"""),"Fail/Succeed")</f>
        <v>Fail/Succeed</v>
      </c>
      <c r="G51" s="16"/>
      <c r="H51" s="16" t="str">
        <f>IFERROR(__xludf.DUMMYFUNCTION("""COMPUTED_VALUE"""),"Celestial")</f>
        <v>Celestial</v>
      </c>
    </row>
    <row r="52">
      <c r="A52" s="16" t="str">
        <f>IFERROR(__xludf.DUMMYFUNCTION("""COMPUTED_VALUE"""),"Celestial Wave")</f>
        <v>Celestial Wave</v>
      </c>
      <c r="B52" s="16">
        <f>IFERROR(__xludf.DUMMYFUNCTION("""COMPUTED_VALUE"""),5.0)</f>
        <v>5</v>
      </c>
      <c r="C52" s="16">
        <f>IFERROR(__xludf.DUMMYFUNCTION("""COMPUTED_VALUE"""),500.0)</f>
        <v>500</v>
      </c>
      <c r="D52" s="16"/>
      <c r="E52" s="16" t="str">
        <f>IFERROR(__xludf.DUMMYFUNCTION("""COMPUTED_VALUE"""),"30000 Celestial dmg to all enemies.")</f>
        <v>30000 Celestial dmg to all enemies.</v>
      </c>
      <c r="F52" s="16" t="str">
        <f>IFERROR(__xludf.DUMMYFUNCTION("""COMPUTED_VALUE"""),"Cannot be avoided")</f>
        <v>Cannot be avoided</v>
      </c>
      <c r="G52" s="16"/>
      <c r="H52" s="16" t="str">
        <f>IFERROR(__xludf.DUMMYFUNCTION("""COMPUTED_VALUE"""),"Celestial")</f>
        <v>Celestial</v>
      </c>
    </row>
    <row r="53">
      <c r="A53" s="16" t="str">
        <f>IFERROR(__xludf.DUMMYFUNCTION("""COMPUTED_VALUE"""),"Celestial Wrath")</f>
        <v>Celestial Wrath</v>
      </c>
      <c r="B53" s="16">
        <f>IFERROR(__xludf.DUMMYFUNCTION("""COMPUTED_VALUE"""),7.0)</f>
        <v>7</v>
      </c>
      <c r="C53" s="16">
        <f>IFERROR(__xludf.DUMMYFUNCTION("""COMPUTED_VALUE"""),700.0)</f>
        <v>700</v>
      </c>
      <c r="D53" s="16"/>
      <c r="E53" s="16" t="str">
        <f>IFERROR(__xludf.DUMMYFUNCTION("""COMPUTED_VALUE"""),"Causes 42000 Celestial dmg to all enemies, +7000 def to self and allies.")</f>
        <v>Causes 42000 Celestial dmg to all enemies, +7000 def to self and allies.</v>
      </c>
      <c r="F53" s="16" t="str">
        <f>IFERROR(__xludf.DUMMYFUNCTION("""COMPUTED_VALUE"""),"Cannot Avoid")</f>
        <v>Cannot Avoid</v>
      </c>
      <c r="G53" s="16"/>
      <c r="H53" s="16" t="str">
        <f>IFERROR(__xludf.DUMMYFUNCTION("""COMPUTED_VALUE"""),"Celestial")</f>
        <v>Celestial</v>
      </c>
    </row>
    <row r="54">
      <c r="A54" s="16" t="str">
        <f>IFERROR(__xludf.DUMMYFUNCTION("""COMPUTED_VALUE"""),"Duplicate")</f>
        <v>Duplicate</v>
      </c>
      <c r="B54" s="16">
        <f>IFERROR(__xludf.DUMMYFUNCTION("""COMPUTED_VALUE"""),9.0)</f>
        <v>9</v>
      </c>
      <c r="C54" s="16">
        <f>IFERROR(__xludf.DUMMYFUNCTION("""COMPUTED_VALUE"""),1000.0)</f>
        <v>1000</v>
      </c>
      <c r="D54" s="16"/>
      <c r="E54" s="16" t="str">
        <f>IFERROR(__xludf.DUMMYFUNCTION("""COMPUTED_VALUE"""),"Duplicate an item of choice in your bag or inventory. (spell can only be used once per week in real time.)")</f>
        <v>Duplicate an item of choice in your bag or inventory. (spell can only be used once per week in real time.)</v>
      </c>
      <c r="F54" s="16" t="str">
        <f>IFERROR(__xludf.DUMMYFUNCTION("""COMPUTED_VALUE"""),"Will Succeed")</f>
        <v>Will Succeed</v>
      </c>
      <c r="G54" s="16"/>
      <c r="H54" s="16" t="str">
        <f>IFERROR(__xludf.DUMMYFUNCTION("""COMPUTED_VALUE"""),"Celestial")</f>
        <v>Celestial</v>
      </c>
    </row>
    <row r="55">
      <c r="A55" s="16" t="str">
        <f>IFERROR(__xludf.DUMMYFUNCTION("""COMPUTED_VALUE"""),"Mass Destruction")</f>
        <v>Mass Destruction</v>
      </c>
      <c r="B55" s="16">
        <f>IFERROR(__xludf.DUMMYFUNCTION("""COMPUTED_VALUE"""),9.0)</f>
        <v>9</v>
      </c>
      <c r="C55" s="16">
        <f>IFERROR(__xludf.DUMMYFUNCTION("""COMPUTED_VALUE"""),900.0)</f>
        <v>900</v>
      </c>
      <c r="D55" s="16"/>
      <c r="E55" s="16" t="str">
        <f>IFERROR(__xludf.DUMMYFUNCTION("""COMPUTED_VALUE"""),"54,000 celestial damage to all enemies, 70% chance of instant death.")</f>
        <v>54,000 celestial damage to all enemies, 70% chance of instant death.</v>
      </c>
      <c r="F55" s="16" t="str">
        <f>IFERROR(__xludf.DUMMYFUNCTION("""COMPUTED_VALUE"""),"Cannot Avoid")</f>
        <v>Cannot Avoid</v>
      </c>
      <c r="G55" s="16"/>
      <c r="H55" s="16" t="str">
        <f>IFERROR(__xludf.DUMMYFUNCTION("""COMPUTED_VALUE"""),"Celestial")</f>
        <v>Celestial</v>
      </c>
    </row>
    <row r="56">
      <c r="A56" s="16" t="str">
        <f>IFERROR(__xludf.DUMMYFUNCTION("""COMPUTED_VALUE"""),"Tower Of Gods")</f>
        <v>Tower Of Gods</v>
      </c>
      <c r="B56" s="16">
        <f>IFERROR(__xludf.DUMMYFUNCTION("""COMPUTED_VALUE"""),8.0)</f>
        <v>8</v>
      </c>
      <c r="C56" s="16">
        <f>IFERROR(__xludf.DUMMYFUNCTION("""COMPUTED_VALUE"""),800.0)</f>
        <v>800</v>
      </c>
      <c r="D56" s="16"/>
      <c r="E5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56" s="16" t="str">
        <f>IFERROR(__xludf.DUMMYFUNCTION("""COMPUTED_VALUE"""),"Fail/Succeed")</f>
        <v>Fail/Succeed</v>
      </c>
      <c r="G56" s="16"/>
      <c r="H56" s="16" t="str">
        <f>IFERROR(__xludf.DUMMYFUNCTION("""COMPUTED_VALUE"""),"Celestial")</f>
        <v>Celestial</v>
      </c>
    </row>
    <row r="57">
      <c r="A57" s="16" t="str">
        <f>IFERROR(__xludf.DUMMYFUNCTION("""COMPUTED_VALUE"""),"Transformation")</f>
        <v>Transformation</v>
      </c>
      <c r="B57" s="16">
        <f>IFERROR(__xludf.DUMMYFUNCTION("""COMPUTED_VALUE"""),1.0)</f>
        <v>1</v>
      </c>
      <c r="C57" s="16" t="str">
        <f>IFERROR(__xludf.DUMMYFUNCTION("""COMPUTED_VALUE"""),"0")</f>
        <v>0</v>
      </c>
      <c r="D57" s="16"/>
      <c r="E5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57" s="16" t="str">
        <f>IFERROR(__xludf.DUMMYFUNCTION("""COMPUTED_VALUE"""),"Fail/Succeed")</f>
        <v>Fail/Succeed</v>
      </c>
      <c r="G57" s="16" t="str">
        <f>IFERROR(__xludf.DUMMYFUNCTION("""COMPUTED_VALUE"""),"Self")</f>
        <v>Self</v>
      </c>
      <c r="H57" s="16" t="str">
        <f>IFERROR(__xludf.DUMMYFUNCTION("""COMPUTED_VALUE"""),"Celestial")</f>
        <v>Celestial</v>
      </c>
    </row>
    <row r="58">
      <c r="A58" s="16" t="str">
        <f>IFERROR(__xludf.DUMMYFUNCTION("""COMPUTED_VALUE"""),"Call From The Mob House")</f>
        <v>Call From The Mob House</v>
      </c>
      <c r="B58" s="16">
        <f>IFERROR(__xludf.DUMMYFUNCTION("""COMPUTED_VALUE"""),3.0)</f>
        <v>3</v>
      </c>
      <c r="C58" s="16">
        <f>IFERROR(__xludf.DUMMYFUNCTION("""COMPUTED_VALUE"""),30.0)</f>
        <v>30</v>
      </c>
      <c r="D58" s="16"/>
      <c r="E5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58" s="16" t="str">
        <f>IFERROR(__xludf.DUMMYFUNCTION("""COMPUTED_VALUE"""),"Fail/Succeed")</f>
        <v>Fail/Succeed</v>
      </c>
      <c r="G58" s="16"/>
      <c r="H58" s="16" t="str">
        <f>IFERROR(__xludf.DUMMYFUNCTION("""COMPUTED_VALUE"""),"Chaos")</f>
        <v>Chaos</v>
      </c>
    </row>
    <row r="59">
      <c r="A59" s="16" t="str">
        <f>IFERROR(__xludf.DUMMYFUNCTION("""COMPUTED_VALUE"""),"Chaos Barrier")</f>
        <v>Chaos Barrier</v>
      </c>
      <c r="B59" s="16">
        <f>IFERROR(__xludf.DUMMYFUNCTION("""COMPUTED_VALUE"""),4.0)</f>
        <v>4</v>
      </c>
      <c r="C59" s="16">
        <f>IFERROR(__xludf.DUMMYFUNCTION("""COMPUTED_VALUE"""),40.0)</f>
        <v>40</v>
      </c>
      <c r="D59" s="16"/>
      <c r="E59" s="16" t="str">
        <f>IFERROR(__xludf.DUMMYFUNCTION("""COMPUTED_VALUE"""),"If the caster is hit, the attacker takes 4000 chaos dmg for 3 rounds.")</f>
        <v>If the caster is hit, the attacker takes 4000 chaos dmg for 3 rounds.</v>
      </c>
      <c r="F59" s="16" t="str">
        <f>IFERROR(__xludf.DUMMYFUNCTION("""COMPUTED_VALUE"""),"Fail/Succeed")</f>
        <v>Fail/Succeed</v>
      </c>
      <c r="G59" s="16"/>
      <c r="H59" s="16" t="str">
        <f>IFERROR(__xludf.DUMMYFUNCTION("""COMPUTED_VALUE"""),"Chaos")</f>
        <v>Chaos</v>
      </c>
    </row>
    <row r="60">
      <c r="A60" s="16" t="str">
        <f>IFERROR(__xludf.DUMMYFUNCTION("""COMPUTED_VALUE"""),"Chaos Beam")</f>
        <v>Chaos Beam</v>
      </c>
      <c r="B60" s="16">
        <f>IFERROR(__xludf.DUMMYFUNCTION("""COMPUTED_VALUE"""),1.0)</f>
        <v>1</v>
      </c>
      <c r="C60" s="16" t="str">
        <f>IFERROR(__xludf.DUMMYFUNCTION("""COMPUTED_VALUE"""),"X")</f>
        <v>X</v>
      </c>
      <c r="D60" s="16"/>
      <c r="E60" s="16" t="str">
        <f>IFERROR(__xludf.DUMMYFUNCTION("""COMPUTED_VALUE"""),"Deals X*100 Chaos damage to a single enemy where X is equal to SP spent.")</f>
        <v>Deals X*100 Chaos damage to a single enemy where X is equal to SP spent.</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IFERROR(__xludf.DUMMYFUNCTION("""COMPUTED_VALUE"""),"Chaos Ward")</f>
        <v>Chaos Ward</v>
      </c>
      <c r="B61" s="16">
        <f>IFERROR(__xludf.DUMMYFUNCTION("""COMPUTED_VALUE"""),9.0)</f>
        <v>9</v>
      </c>
      <c r="C61" s="16">
        <f>IFERROR(__xludf.DUMMYFUNCTION("""COMPUTED_VALUE"""),400.0)</f>
        <v>400</v>
      </c>
      <c r="D61" s="16"/>
      <c r="E6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61" s="16" t="str">
        <f>IFERROR(__xludf.DUMMYFUNCTION("""COMPUTED_VALUE"""),"Fail/Succeed")</f>
        <v>Fail/Succeed</v>
      </c>
      <c r="G61" s="16">
        <f>IFERROR(__xludf.DUMMYFUNCTION("""COMPUTED_VALUE"""),1.0)</f>
        <v>1</v>
      </c>
      <c r="H61" s="16" t="str">
        <f>IFERROR(__xludf.DUMMYFUNCTION("""COMPUTED_VALUE"""),"Chaos")</f>
        <v>Chaos</v>
      </c>
    </row>
    <row r="62">
      <c r="A62" s="16" t="str">
        <f>IFERROR(__xludf.DUMMYFUNCTION("""COMPUTED_VALUE"""),"Chaotic Collapse")</f>
        <v>Chaotic Collapse</v>
      </c>
      <c r="B62" s="16">
        <f>IFERROR(__xludf.DUMMYFUNCTION("""COMPUTED_VALUE"""),5.0)</f>
        <v>5</v>
      </c>
      <c r="C62" s="16" t="str">
        <f>IFERROR(__xludf.DUMMYFUNCTION("""COMPUTED_VALUE"""),"X")</f>
        <v>X</v>
      </c>
      <c r="D62" s="16"/>
      <c r="E62" s="16" t="str">
        <f>IFERROR(__xludf.DUMMYFUNCTION("""COMPUTED_VALUE"""),"Deals X*50 Chaos damage per round for 3 rounds to a single target where X is equal to SP spent.")</f>
        <v>Deals X*50 Chaos damage per round for 3 rounds to a single target where X is equal to SP spent.</v>
      </c>
      <c r="F62" s="16" t="str">
        <f>IFERROR(__xludf.DUMMYFUNCTION("""COMPUTED_VALUE"""),"Hit/Miss")</f>
        <v>Hit/Miss</v>
      </c>
      <c r="G62" s="16">
        <f>IFERROR(__xludf.DUMMYFUNCTION("""COMPUTED_VALUE"""),1.0)</f>
        <v>1</v>
      </c>
      <c r="H62" s="16" t="str">
        <f>IFERROR(__xludf.DUMMYFUNCTION("""COMPUTED_VALUE"""),"Chaos")</f>
        <v>Chaos</v>
      </c>
    </row>
    <row r="63">
      <c r="A63" s="16" t="str">
        <f>IFERROR(__xludf.DUMMYFUNCTION("""COMPUTED_VALUE"""),"Chaotic Implosion")</f>
        <v>Chaotic Implosion</v>
      </c>
      <c r="B63" s="16">
        <f>IFERROR(__xludf.DUMMYFUNCTION("""COMPUTED_VALUE"""),5.0)</f>
        <v>5</v>
      </c>
      <c r="C63" s="16" t="str">
        <f>IFERROR(__xludf.DUMMYFUNCTION("""COMPUTED_VALUE"""),"X")</f>
        <v>X</v>
      </c>
      <c r="D63" s="16"/>
      <c r="E63" s="16" t="str">
        <f>IFERROR(__xludf.DUMMYFUNCTION("""COMPUTED_VALUE"""),"Deals X*25 Chaos damage to all enemies where X is equal to SP spent.")</f>
        <v>Deals X*25 Chaos damage to all enemies where X is equal to SP spent.</v>
      </c>
      <c r="F63" s="16" t="str">
        <f>IFERROR(__xludf.DUMMYFUNCTION("""COMPUTED_VALUE"""),"Cannot Avoid")</f>
        <v>Cannot Avoid</v>
      </c>
      <c r="G63" s="16" t="str">
        <f>IFERROR(__xludf.DUMMYFUNCTION("""COMPUTED_VALUE"""),"All")</f>
        <v>All</v>
      </c>
      <c r="H63" s="16" t="str">
        <f>IFERROR(__xludf.DUMMYFUNCTION("""COMPUTED_VALUE"""),"Chaos")</f>
        <v>Chaos</v>
      </c>
    </row>
    <row r="64">
      <c r="A64" s="16" t="str">
        <f>IFERROR(__xludf.DUMMYFUNCTION("""COMPUTED_VALUE"""),"Chaotic Increase")</f>
        <v>Chaotic Increase</v>
      </c>
      <c r="B64" s="16">
        <f>IFERROR(__xludf.DUMMYFUNCTION("""COMPUTED_VALUE"""),5.0)</f>
        <v>5</v>
      </c>
      <c r="C64" s="16">
        <f>IFERROR(__xludf.DUMMYFUNCTION("""COMPUTED_VALUE"""),200.0)</f>
        <v>200</v>
      </c>
      <c r="D64" s="16"/>
      <c r="E64" s="16" t="str">
        <f>IFERROR(__xludf.DUMMYFUNCTION("""COMPUTED_VALUE"""),"Increases chaos dmg by X4 for the caster.")</f>
        <v>Increases chaos dmg by X4 for the caster.</v>
      </c>
      <c r="F64" s="16" t="str">
        <f>IFERROR(__xludf.DUMMYFUNCTION("""COMPUTED_VALUE"""),"Will Succeed")</f>
        <v>Will Succeed</v>
      </c>
      <c r="G64" s="16"/>
      <c r="H64" s="16" t="str">
        <f>IFERROR(__xludf.DUMMYFUNCTION("""COMPUTED_VALUE"""),"Chaos")</f>
        <v>Chaos</v>
      </c>
    </row>
    <row r="65">
      <c r="A65" s="16" t="str">
        <f>IFERROR(__xludf.DUMMYFUNCTION("""COMPUTED_VALUE"""),"Deflect (Random)")</f>
        <v>Deflect (Random)</v>
      </c>
      <c r="B65" s="16">
        <f>IFERROR(__xludf.DUMMYFUNCTION("""COMPUTED_VALUE"""),3.0)</f>
        <v>3</v>
      </c>
      <c r="C65" s="16">
        <f>IFERROR(__xludf.DUMMYFUNCTION("""COMPUTED_VALUE"""),30.0)</f>
        <v>30</v>
      </c>
      <c r="D65" s="16"/>
      <c r="E65" s="16" t="str">
        <f>IFERROR(__xludf.DUMMYFUNCTION("""COMPUTED_VALUE"""),"Deflects any damage you would have taken from the next attack and diverts to a random target.")</f>
        <v>Deflects any damage you would have taken from the next attack and diverts to a random target.</v>
      </c>
      <c r="F65" s="16" t="str">
        <f>IFERROR(__xludf.DUMMYFUNCTION("""COMPUTED_VALUE"""),"Fail/Succeed")</f>
        <v>Fail/Succeed</v>
      </c>
      <c r="G65" s="16"/>
      <c r="H65" s="16" t="str">
        <f>IFERROR(__xludf.DUMMYFUNCTION("""COMPUTED_VALUE"""),"Chaos")</f>
        <v>Chaos</v>
      </c>
    </row>
    <row r="66">
      <c r="A66" s="16" t="str">
        <f>IFERROR(__xludf.DUMMYFUNCTION("""COMPUTED_VALUE"""),"Dimension Portal")</f>
        <v>Dimension Portal</v>
      </c>
      <c r="B66" s="16">
        <f>IFERROR(__xludf.DUMMYFUNCTION("""COMPUTED_VALUE"""),9.0)</f>
        <v>9</v>
      </c>
      <c r="C66" s="16" t="str">
        <f>IFERROR(__xludf.DUMMYFUNCTION("""COMPUTED_VALUE"""),"200 or 400")</f>
        <v>200 or 400</v>
      </c>
      <c r="D66" s="16"/>
      <c r="E6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66" s="16" t="str">
        <f>IFERROR(__xludf.DUMMYFUNCTION("""COMPUTED_VALUE"""),"Fail/Succeed")</f>
        <v>Fail/Succeed</v>
      </c>
      <c r="G66" s="16"/>
      <c r="H66" s="16" t="str">
        <f>IFERROR(__xludf.DUMMYFUNCTION("""COMPUTED_VALUE"""),"Chaos")</f>
        <v>Chaos</v>
      </c>
    </row>
    <row r="67">
      <c r="A67" s="16" t="str">
        <f>IFERROR(__xludf.DUMMYFUNCTION("""COMPUTED_VALUE"""),"Dimensional Quake")</f>
        <v>Dimensional Quake</v>
      </c>
      <c r="B67" s="16">
        <f>IFERROR(__xludf.DUMMYFUNCTION("""COMPUTED_VALUE"""),9.0)</f>
        <v>9</v>
      </c>
      <c r="C67" s="16">
        <f>IFERROR(__xludf.DUMMYFUNCTION("""COMPUTED_VALUE"""),400.0)</f>
        <v>400</v>
      </c>
      <c r="D67" s="16"/>
      <c r="E6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67" s="16" t="str">
        <f>IFERROR(__xludf.DUMMYFUNCTION("""COMPUTED_VALUE"""),"Cannot Avoid")</f>
        <v>Cannot Avoid</v>
      </c>
      <c r="G67" s="16" t="str">
        <f>IFERROR(__xludf.DUMMYFUNCTION("""COMPUTED_VALUE"""),"All")</f>
        <v>All</v>
      </c>
      <c r="H67" s="16" t="str">
        <f>IFERROR(__xludf.DUMMYFUNCTION("""COMPUTED_VALUE"""),"Chaos")</f>
        <v>Chaos</v>
      </c>
    </row>
    <row r="68">
      <c r="A68" s="16" t="str">
        <f>IFERROR(__xludf.DUMMYFUNCTION("""COMPUTED_VALUE"""),"Disruption")</f>
        <v>Disruption</v>
      </c>
      <c r="B68" s="16">
        <f>IFERROR(__xludf.DUMMYFUNCTION("""COMPUTED_VALUE"""),9.0)</f>
        <v>9</v>
      </c>
      <c r="C68" s="16">
        <f>IFERROR(__xludf.DUMMYFUNCTION("""COMPUTED_VALUE"""),600.0)</f>
        <v>600</v>
      </c>
      <c r="D68" s="16"/>
      <c r="E68" s="16" t="str">
        <f>IFERROR(__xludf.DUMMYFUNCTION("""COMPUTED_VALUE"""),"Prevent all enemies from Spell Casting for 3 rounds.")</f>
        <v>Prevent all enemies from Spell Casting for 3 rounds.</v>
      </c>
      <c r="F68" s="16" t="str">
        <f>IFERROR(__xludf.DUMMYFUNCTION("""COMPUTED_VALUE"""),"Fail/Succeed")</f>
        <v>Fail/Succeed</v>
      </c>
      <c r="G68" s="16"/>
      <c r="H68" s="16" t="str">
        <f>IFERROR(__xludf.DUMMYFUNCTION("""COMPUTED_VALUE"""),"Chaos")</f>
        <v>Chaos</v>
      </c>
    </row>
    <row r="69">
      <c r="A69" s="16" t="str">
        <f>IFERROR(__xludf.DUMMYFUNCTION("""COMPUTED_VALUE"""),"Disturbance")</f>
        <v>Disturbance</v>
      </c>
      <c r="B69" s="16">
        <f>IFERROR(__xludf.DUMMYFUNCTION("""COMPUTED_VALUE"""),8.0)</f>
        <v>8</v>
      </c>
      <c r="C69" s="16">
        <f>IFERROR(__xludf.DUMMYFUNCTION("""COMPUTED_VALUE"""),300.0)</f>
        <v>300</v>
      </c>
      <c r="D69" s="16"/>
      <c r="E69" s="16" t="str">
        <f>IFERROR(__xludf.DUMMYFUNCTION("""COMPUTED_VALUE"""),"Prevent 1 target from Spell Casting for 3 rounds.")</f>
        <v>Prevent 1 target from Spell Casting for 3 rounds.</v>
      </c>
      <c r="F69" s="16" t="str">
        <f>IFERROR(__xludf.DUMMYFUNCTION("""COMPUTED_VALUE"""),"Fail/Succeed")</f>
        <v>Fail/Succeed</v>
      </c>
      <c r="G69" s="16"/>
      <c r="H69" s="16" t="str">
        <f>IFERROR(__xludf.DUMMYFUNCTION("""COMPUTED_VALUE"""),"Chaos")</f>
        <v>Chaos</v>
      </c>
    </row>
    <row r="70">
      <c r="A70" s="16" t="str">
        <f>IFERROR(__xludf.DUMMYFUNCTION("""COMPUTED_VALUE"""),"Mad shot")</f>
        <v>Mad shot</v>
      </c>
      <c r="B70" s="16">
        <f>IFERROR(__xludf.DUMMYFUNCTION("""COMPUTED_VALUE"""),1.0)</f>
        <v>1</v>
      </c>
      <c r="C70" s="16">
        <f>IFERROR(__xludf.DUMMYFUNCTION("""COMPUTED_VALUE"""),10.0)</f>
        <v>10</v>
      </c>
      <c r="D70" s="16"/>
      <c r="E70" s="16" t="str">
        <f>IFERROR(__xludf.DUMMYFUNCTION("""COMPUTED_VALUE"""),"1000 chaos damage and inflicts target with 5 Insanity.")</f>
        <v>1000 chaos damage and inflicts target with 5 Insanity.</v>
      </c>
      <c r="F70" s="16" t="str">
        <f>IFERROR(__xludf.DUMMYFUNCTION("""COMPUTED_VALUE"""),"Hit/Miss")</f>
        <v>Hit/Miss</v>
      </c>
      <c r="G70" s="16">
        <f>IFERROR(__xludf.DUMMYFUNCTION("""COMPUTED_VALUE"""),1.0)</f>
        <v>1</v>
      </c>
      <c r="H70" s="16" t="str">
        <f>IFERROR(__xludf.DUMMYFUNCTION("""COMPUTED_VALUE"""),"Chaos")</f>
        <v>Chaos</v>
      </c>
    </row>
    <row r="71">
      <c r="A71" s="16" t="str">
        <f>IFERROR(__xludf.DUMMYFUNCTION("""COMPUTED_VALUE"""),"Mass Chaotic Collapse")</f>
        <v>Mass Chaotic Collapse</v>
      </c>
      <c r="B71" s="16">
        <f>IFERROR(__xludf.DUMMYFUNCTION("""COMPUTED_VALUE"""),6.0)</f>
        <v>6</v>
      </c>
      <c r="C71" s="16" t="str">
        <f>IFERROR(__xludf.DUMMYFUNCTION("""COMPUTED_VALUE"""),"X")</f>
        <v>X</v>
      </c>
      <c r="D71" s="16"/>
      <c r="E71" s="16" t="str">
        <f>IFERROR(__xludf.DUMMYFUNCTION("""COMPUTED_VALUE"""),"Deals X*10 Chaos damage per round to all enemies for 3 rounds where X is equal to SP spent.")</f>
        <v>Deals X*10 Chaos damage per round to all enemies for 3 rounds where X is equal to SP spent.</v>
      </c>
      <c r="F71" s="16" t="str">
        <f>IFERROR(__xludf.DUMMYFUNCTION("""COMPUTED_VALUE"""),"Cannot Avoid")</f>
        <v>Cannot Avoid</v>
      </c>
      <c r="G71" s="16" t="str">
        <f>IFERROR(__xludf.DUMMYFUNCTION("""COMPUTED_VALUE"""),"All")</f>
        <v>All</v>
      </c>
      <c r="H71" s="16" t="str">
        <f>IFERROR(__xludf.DUMMYFUNCTION("""COMPUTED_VALUE"""),"Chaos")</f>
        <v>Chaos</v>
      </c>
    </row>
    <row r="72">
      <c r="A72" s="16" t="str">
        <f>IFERROR(__xludf.DUMMYFUNCTION("""COMPUTED_VALUE"""),"Shatter")</f>
        <v>Shatter</v>
      </c>
      <c r="B72" s="16">
        <f>IFERROR(__xludf.DUMMYFUNCTION("""COMPUTED_VALUE"""),6.0)</f>
        <v>6</v>
      </c>
      <c r="C72" s="16">
        <f>IFERROR(__xludf.DUMMYFUNCTION("""COMPUTED_VALUE"""),60.0)</f>
        <v>60</v>
      </c>
      <c r="D72" s="16"/>
      <c r="E72" s="16" t="str">
        <f>IFERROR(__xludf.DUMMYFUNCTION("""COMPUTED_VALUE"""),"Make a target enemies base Defense 0")</f>
        <v>Make a target enemies base Defense 0</v>
      </c>
      <c r="F72" s="16" t="str">
        <f>IFERROR(__xludf.DUMMYFUNCTION("""COMPUTED_VALUE"""),"Fail/Succeed")</f>
        <v>Fail/Succeed</v>
      </c>
      <c r="G72" s="16"/>
      <c r="H72" s="16" t="str">
        <f>IFERROR(__xludf.DUMMYFUNCTION("""COMPUTED_VALUE"""),"Chaos")</f>
        <v>Chaos</v>
      </c>
    </row>
    <row r="73">
      <c r="A73" s="16" t="str">
        <f>IFERROR(__xludf.DUMMYFUNCTION("""COMPUTED_VALUE"""),"Army of The Dead")</f>
        <v>Army of The Dead</v>
      </c>
      <c r="B73" s="16">
        <f>IFERROR(__xludf.DUMMYFUNCTION("""COMPUTED_VALUE"""),9.0)</f>
        <v>9</v>
      </c>
      <c r="C73" s="16" t="str">
        <f>IFERROR(__xludf.DUMMYFUNCTION("""COMPUTED_VALUE"""),"X*100")</f>
        <v>X*100</v>
      </c>
      <c r="D73" s="16"/>
      <c r="E7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73" s="16" t="str">
        <f>IFERROR(__xludf.DUMMYFUNCTION("""COMPUTED_VALUE"""),"Fail/Suceed")</f>
        <v>Fail/Suceed</v>
      </c>
      <c r="G73" s="16" t="str">
        <f>IFERROR(__xludf.DUMMYFUNCTION("""COMPUTED_VALUE"""),"d6")</f>
        <v>d6</v>
      </c>
      <c r="H73" s="16" t="str">
        <f>IFERROR(__xludf.DUMMYFUNCTION("""COMPUTED_VALUE"""),"Dark")</f>
        <v>Dark</v>
      </c>
    </row>
    <row r="74">
      <c r="A74" s="16" t="str">
        <f>IFERROR(__xludf.DUMMYFUNCTION("""COMPUTED_VALUE"""),"Chains of Shadow")</f>
        <v>Chains of Shadow</v>
      </c>
      <c r="B74" s="16">
        <f>IFERROR(__xludf.DUMMYFUNCTION("""COMPUTED_VALUE"""),4.0)</f>
        <v>4</v>
      </c>
      <c r="C74" s="16">
        <f>IFERROR(__xludf.DUMMYFUNCTION("""COMPUTED_VALUE"""),40.0)</f>
        <v>40</v>
      </c>
      <c r="D74" s="16"/>
      <c r="E74" s="16" t="str">
        <f>IFERROR(__xludf.DUMMYFUNCTION("""COMPUTED_VALUE"""),"Immobilizes 1 target Skipping there turn order for 3 rounds, 60% chance to immobilize another target.")</f>
        <v>Immobilizes 1 target Skipping there turn order for 3 rounds, 60% chance to immobilize another target.</v>
      </c>
      <c r="F74" s="16" t="str">
        <f>IFERROR(__xludf.DUMMYFUNCTION("""COMPUTED_VALUE"""),"Fail/Succeed")</f>
        <v>Fail/Succeed</v>
      </c>
      <c r="G74" s="16"/>
      <c r="H74" s="16" t="str">
        <f>IFERROR(__xludf.DUMMYFUNCTION("""COMPUTED_VALUE"""),"Dark")</f>
        <v>Dark</v>
      </c>
    </row>
    <row r="75">
      <c r="A75" s="16" t="str">
        <f>IFERROR(__xludf.DUMMYFUNCTION("""COMPUTED_VALUE"""),"Conceal")</f>
        <v>Conceal</v>
      </c>
      <c r="B75" s="16">
        <f>IFERROR(__xludf.DUMMYFUNCTION("""COMPUTED_VALUE"""),9.0)</f>
        <v>9</v>
      </c>
      <c r="C75" s="16">
        <f>IFERROR(__xludf.DUMMYFUNCTION("""COMPUTED_VALUE"""),300.0)</f>
        <v>300</v>
      </c>
      <c r="D75" s="16"/>
      <c r="E7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75" s="16" t="str">
        <f>IFERROR(__xludf.DUMMYFUNCTION("""COMPUTED_VALUE"""),"Fail/Succeed")</f>
        <v>Fail/Succeed</v>
      </c>
      <c r="G75" s="16"/>
      <c r="H75" s="16" t="str">
        <f>IFERROR(__xludf.DUMMYFUNCTION("""COMPUTED_VALUE"""),"Dark")</f>
        <v>Dark</v>
      </c>
    </row>
    <row r="76">
      <c r="A76" s="16" t="str">
        <f>IFERROR(__xludf.DUMMYFUNCTION("""COMPUTED_VALUE"""),"Corrupt")</f>
        <v>Corrupt</v>
      </c>
      <c r="B76" s="16">
        <f>IFERROR(__xludf.DUMMYFUNCTION("""COMPUTED_VALUE"""),4.0)</f>
        <v>4</v>
      </c>
      <c r="C76" s="16" t="str">
        <f>IFERROR(__xludf.DUMMYFUNCTION("""COMPUTED_VALUE"""),"X")</f>
        <v>X</v>
      </c>
      <c r="D76" s="16"/>
      <c r="E76" s="16" t="str">
        <f>IFERROR(__xludf.DUMMYFUNCTION("""COMPUTED_VALUE"""),"Target gains X*4 Dark damage and X*4 Dark resistance, can’t be used on self")</f>
        <v>Target gains X*4 Dark damage and X*4 Dark resistance, can’t be used on self</v>
      </c>
      <c r="F76" s="16" t="str">
        <f>IFERROR(__xludf.DUMMYFUNCTION("""COMPUTED_VALUE"""),"Will Succeed")</f>
        <v>Will Succeed</v>
      </c>
      <c r="G76" s="16"/>
      <c r="H76" s="16" t="str">
        <f>IFERROR(__xludf.DUMMYFUNCTION("""COMPUTED_VALUE"""),"Dark")</f>
        <v>Dark</v>
      </c>
    </row>
    <row r="77">
      <c r="A77" s="16" t="str">
        <f>IFERROR(__xludf.DUMMYFUNCTION("""COMPUTED_VALUE"""),"Creeping Darkness")</f>
        <v>Creeping Darkness</v>
      </c>
      <c r="B77" s="16">
        <f>IFERROR(__xludf.DUMMYFUNCTION("""COMPUTED_VALUE"""),5.0)</f>
        <v>5</v>
      </c>
      <c r="C77" s="16" t="str">
        <f>IFERROR(__xludf.DUMMYFUNCTION("""COMPUTED_VALUE"""),"X")</f>
        <v>X</v>
      </c>
      <c r="D77" s="16"/>
      <c r="E77" s="16" t="str">
        <f>IFERROR(__xludf.DUMMYFUNCTION("""COMPUTED_VALUE"""),"Deals X*25 Dark damage to all enemies where X is equal to SP spent.")</f>
        <v>Deals X*25 Dark damage to all enemies where X is equal to SP spent.</v>
      </c>
      <c r="F77" s="16" t="str">
        <f>IFERROR(__xludf.DUMMYFUNCTION("""COMPUTED_VALUE"""),"Cannot Avoid")</f>
        <v>Cannot Avoid</v>
      </c>
      <c r="G77" s="16" t="str">
        <f>IFERROR(__xludf.DUMMYFUNCTION("""COMPUTED_VALUE"""),"All")</f>
        <v>All</v>
      </c>
      <c r="H77" s="16" t="str">
        <f>IFERROR(__xludf.DUMMYFUNCTION("""COMPUTED_VALUE"""),"Dark")</f>
        <v>Dark</v>
      </c>
    </row>
    <row r="78">
      <c r="A78" s="16" t="str">
        <f>IFERROR(__xludf.DUMMYFUNCTION("""COMPUTED_VALUE"""),"Curse of Wasting")</f>
        <v>Curse of Wasting</v>
      </c>
      <c r="B78" s="16">
        <f>IFERROR(__xludf.DUMMYFUNCTION("""COMPUTED_VALUE"""),5.0)</f>
        <v>5</v>
      </c>
      <c r="C78" s="16" t="str">
        <f>IFERROR(__xludf.DUMMYFUNCTION("""COMPUTED_VALUE"""),"X")</f>
        <v>X</v>
      </c>
      <c r="D78" s="16"/>
      <c r="E78" s="16" t="str">
        <f>IFERROR(__xludf.DUMMYFUNCTION("""COMPUTED_VALUE"""),"Deals X*50 Dark damage per round for 3 rounds to a single target where X is equal to SP spent.")</f>
        <v>Deals X*50 Dark damage per round for 3 rounds to a single target where X is equal to SP spent.</v>
      </c>
      <c r="F78" s="16" t="str">
        <f>IFERROR(__xludf.DUMMYFUNCTION("""COMPUTED_VALUE"""),"Hit/Miss")</f>
        <v>Hit/Miss</v>
      </c>
      <c r="G78" s="16">
        <f>IFERROR(__xludf.DUMMYFUNCTION("""COMPUTED_VALUE"""),1.0)</f>
        <v>1</v>
      </c>
      <c r="H78" s="16" t="str">
        <f>IFERROR(__xludf.DUMMYFUNCTION("""COMPUTED_VALUE"""),"Dark")</f>
        <v>Dark</v>
      </c>
    </row>
    <row r="79">
      <c r="A79" s="16" t="str">
        <f>IFERROR(__xludf.DUMMYFUNCTION("""COMPUTED_VALUE"""),"Dark Bolt")</f>
        <v>Dark Bolt</v>
      </c>
      <c r="B79" s="16">
        <f>IFERROR(__xludf.DUMMYFUNCTION("""COMPUTED_VALUE"""),1.0)</f>
        <v>1</v>
      </c>
      <c r="C79" s="16" t="str">
        <f>IFERROR(__xludf.DUMMYFUNCTION("""COMPUTED_VALUE"""),"X")</f>
        <v>X</v>
      </c>
      <c r="D79" s="16"/>
      <c r="E79" s="16" t="str">
        <f>IFERROR(__xludf.DUMMYFUNCTION("""COMPUTED_VALUE"""),"Deals X*100 Dark damage to a single enemy where X is equal to SP spent.")</f>
        <v>Deals X*100 Dark damage to a single enemy where X is equal to SP spent.</v>
      </c>
      <c r="F79" s="16" t="str">
        <f>IFERROR(__xludf.DUMMYFUNCTION("""COMPUTED_VALUE"""),"Hit/Miss")</f>
        <v>Hit/Miss</v>
      </c>
      <c r="G79" s="16">
        <f>IFERROR(__xludf.DUMMYFUNCTION("""COMPUTED_VALUE"""),1.0)</f>
        <v>1</v>
      </c>
      <c r="H79" s="16" t="str">
        <f>IFERROR(__xludf.DUMMYFUNCTION("""COMPUTED_VALUE"""),"Dark")</f>
        <v>Dark</v>
      </c>
    </row>
    <row r="80">
      <c r="A80" s="16" t="str">
        <f>IFERROR(__xludf.DUMMYFUNCTION("""COMPUTED_VALUE"""),"Dark Curse")</f>
        <v>Dark Curse</v>
      </c>
      <c r="B80" s="16">
        <f>IFERROR(__xludf.DUMMYFUNCTION("""COMPUTED_VALUE"""),7.0)</f>
        <v>7</v>
      </c>
      <c r="C80" s="16">
        <f>IFERROR(__xludf.DUMMYFUNCTION("""COMPUTED_VALUE"""),70.0)</f>
        <v>70</v>
      </c>
      <c r="D80" s="16"/>
      <c r="E8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80" s="16" t="str">
        <f>IFERROR(__xludf.DUMMYFUNCTION("""COMPUTED_VALUE"""),"Fail or Succeed")</f>
        <v>Fail or Succeed</v>
      </c>
      <c r="G80" s="16"/>
      <c r="H80" s="16" t="str">
        <f>IFERROR(__xludf.DUMMYFUNCTION("""COMPUTED_VALUE"""),"Dark")</f>
        <v>Dark</v>
      </c>
    </row>
    <row r="81">
      <c r="A81" s="16" t="str">
        <f>IFERROR(__xludf.DUMMYFUNCTION("""COMPUTED_VALUE"""),"Dark Sacrifice")</f>
        <v>Dark Sacrifice</v>
      </c>
      <c r="B81" s="16">
        <f>IFERROR(__xludf.DUMMYFUNCTION("""COMPUTED_VALUE"""),6.0)</f>
        <v>6</v>
      </c>
      <c r="C81" s="16">
        <f>IFERROR(__xludf.DUMMYFUNCTION("""COMPUTED_VALUE"""),60.0)</f>
        <v>60</v>
      </c>
      <c r="D81" s="16"/>
      <c r="E81" s="16" t="str">
        <f>IFERROR(__xludf.DUMMYFUNCTION("""COMPUTED_VALUE"""),"Caster takes damage equal to half their hp and selects 1 target to be revived.")</f>
        <v>Caster takes damage equal to half their hp and selects 1 target to be revived.</v>
      </c>
      <c r="F81" s="16" t="str">
        <f>IFERROR(__xludf.DUMMYFUNCTION("""COMPUTED_VALUE"""),"Will Succeed")</f>
        <v>Will Succeed</v>
      </c>
      <c r="G81" s="16"/>
      <c r="H81" s="16" t="str">
        <f>IFERROR(__xludf.DUMMYFUNCTION("""COMPUTED_VALUE"""),"Dark")</f>
        <v>Dark</v>
      </c>
    </row>
    <row r="82">
      <c r="A82" s="16" t="str">
        <f>IFERROR(__xludf.DUMMYFUNCTION("""COMPUTED_VALUE"""),"Darkest Abyss")</f>
        <v>Darkest Abyss</v>
      </c>
      <c r="B82" s="16">
        <f>IFERROR(__xludf.DUMMYFUNCTION("""COMPUTED_VALUE"""),9.0)</f>
        <v>9</v>
      </c>
      <c r="C82" s="16">
        <f>IFERROR(__xludf.DUMMYFUNCTION("""COMPUTED_VALUE"""),300.0)</f>
        <v>300</v>
      </c>
      <c r="D82" s="16"/>
      <c r="E82" s="16" t="str">
        <f>IFERROR(__xludf.DUMMYFUNCTION("""COMPUTED_VALUE"""),"50,000 dark damage to all enemies. 50% chance of instant death and causes the arena to be dark for 3 rounds..")</f>
        <v>50,000 dark damage to all enemies. 50% chance of instant death and causes the arena to be dark for 3 rounds..</v>
      </c>
      <c r="F82" s="16" t="str">
        <f>IFERROR(__xludf.DUMMYFUNCTION("""COMPUTED_VALUE"""),"Cannot be avoided")</f>
        <v>Cannot be avoided</v>
      </c>
      <c r="G82" s="16">
        <f>IFERROR(__xludf.DUMMYFUNCTION("""COMPUTED_VALUE"""),1.0)</f>
        <v>1</v>
      </c>
      <c r="H82" s="16" t="str">
        <f>IFERROR(__xludf.DUMMYFUNCTION("""COMPUTED_VALUE"""),"Dark")</f>
        <v>Dark</v>
      </c>
    </row>
    <row r="83">
      <c r="A83" s="16" t="str">
        <f>IFERROR(__xludf.DUMMYFUNCTION("""COMPUTED_VALUE"""),"Devolve")</f>
        <v>Devolve</v>
      </c>
      <c r="B83" s="16">
        <f>IFERROR(__xludf.DUMMYFUNCTION("""COMPUTED_VALUE"""),8.0)</f>
        <v>8</v>
      </c>
      <c r="C83" s="16" t="str">
        <f>IFERROR(__xludf.DUMMYFUNCTION("""COMPUTED_VALUE"""),"X")</f>
        <v>X</v>
      </c>
      <c r="D83" s="16"/>
      <c r="E83" s="16" t="str">
        <f>IFERROR(__xludf.DUMMYFUNCTION("""COMPUTED_VALUE"""),"Decrease a targets base stats by X*100")</f>
        <v>Decrease a targets base stats by X*100</v>
      </c>
      <c r="F83" s="16" t="str">
        <f>IFERROR(__xludf.DUMMYFUNCTION("""COMPUTED_VALUE"""),"Fail/Succeed")</f>
        <v>Fail/Succeed</v>
      </c>
      <c r="G83" s="16"/>
      <c r="H83" s="16" t="str">
        <f>IFERROR(__xludf.DUMMYFUNCTION("""COMPUTED_VALUE"""),"Dark")</f>
        <v>Dark</v>
      </c>
    </row>
    <row r="84">
      <c r="A84" s="16" t="str">
        <f>IFERROR(__xludf.DUMMYFUNCTION("""COMPUTED_VALUE"""),"Mass Curse of Wasting")</f>
        <v>Mass Curse of Wasting</v>
      </c>
      <c r="B84" s="16">
        <f>IFERROR(__xludf.DUMMYFUNCTION("""COMPUTED_VALUE"""),6.0)</f>
        <v>6</v>
      </c>
      <c r="C84" s="16" t="str">
        <f>IFERROR(__xludf.DUMMYFUNCTION("""COMPUTED_VALUE"""),"X")</f>
        <v>X</v>
      </c>
      <c r="D84" s="16"/>
      <c r="E84" s="16" t="str">
        <f>IFERROR(__xludf.DUMMYFUNCTION("""COMPUTED_VALUE"""),"Deals X*10 Dark damage per round to all enemies for 3 rounds where X is equal to SP spent.")</f>
        <v>Deals X*10 Dark damage per round to all enemies for 3 rounds where X is equal to SP spent.</v>
      </c>
      <c r="F84" s="16" t="str">
        <f>IFERROR(__xludf.DUMMYFUNCTION("""COMPUTED_VALUE"""),"Cannot Avoid")</f>
        <v>Cannot Avoid</v>
      </c>
      <c r="G84" s="16" t="str">
        <f>IFERROR(__xludf.DUMMYFUNCTION("""COMPUTED_VALUE"""),"All")</f>
        <v>All</v>
      </c>
      <c r="H84" s="16" t="str">
        <f>IFERROR(__xludf.DUMMYFUNCTION("""COMPUTED_VALUE"""),"Dark")</f>
        <v>Dark</v>
      </c>
    </row>
    <row r="85">
      <c r="A85" s="16" t="str">
        <f>IFERROR(__xludf.DUMMYFUNCTION("""COMPUTED_VALUE"""),"Multi Vanish")</f>
        <v>Multi Vanish</v>
      </c>
      <c r="B85" s="16">
        <f>IFERROR(__xludf.DUMMYFUNCTION("""COMPUTED_VALUE"""),9.0)</f>
        <v>9</v>
      </c>
      <c r="C85" s="16">
        <f>IFERROR(__xludf.DUMMYFUNCTION("""COMPUTED_VALUE"""),300.0)</f>
        <v>300</v>
      </c>
      <c r="D85" s="16"/>
      <c r="E8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85" s="16" t="str">
        <f>IFERROR(__xludf.DUMMYFUNCTION("""COMPUTED_VALUE"""),"Fail/succeed")</f>
        <v>Fail/succeed</v>
      </c>
      <c r="G85" s="16"/>
      <c r="H85" s="16" t="str">
        <f>IFERROR(__xludf.DUMMYFUNCTION("""COMPUTED_VALUE"""),"Dark")</f>
        <v>Dark</v>
      </c>
    </row>
    <row r="86">
      <c r="A86" s="16" t="str">
        <f>IFERROR(__xludf.DUMMYFUNCTION("""COMPUTED_VALUE"""),"Pick Pocket")</f>
        <v>Pick Pocket</v>
      </c>
      <c r="B86" s="16">
        <f>IFERROR(__xludf.DUMMYFUNCTION("""COMPUTED_VALUE"""),1.0)</f>
        <v>1</v>
      </c>
      <c r="C86" s="16">
        <f>IFERROR(__xludf.DUMMYFUNCTION("""COMPUTED_VALUE"""),0.0)</f>
        <v>0</v>
      </c>
      <c r="D86" s="16"/>
      <c r="E8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86" s="16" t="str">
        <f>IFERROR(__xludf.DUMMYFUNCTION("""COMPUTED_VALUE"""),"Natural/Fail or Succeed")</f>
        <v>Natural/Fail or Succeed</v>
      </c>
      <c r="G86" s="16"/>
      <c r="H86" s="16" t="str">
        <f>IFERROR(__xludf.DUMMYFUNCTION("""COMPUTED_VALUE"""),"Dark")</f>
        <v>Dark</v>
      </c>
    </row>
    <row r="87">
      <c r="A87" s="16" t="str">
        <f>IFERROR(__xludf.DUMMYFUNCTION("""COMPUTED_VALUE"""),"Raise Dead")</f>
        <v>Raise Dead</v>
      </c>
      <c r="B87" s="16">
        <f>IFERROR(__xludf.DUMMYFUNCTION("""COMPUTED_VALUE"""),9.0)</f>
        <v>9</v>
      </c>
      <c r="C87" s="16">
        <f>IFERROR(__xludf.DUMMYFUNCTION("""COMPUTED_VALUE"""),300.0)</f>
        <v>300</v>
      </c>
      <c r="D87" s="16"/>
      <c r="E87" s="16" t="str">
        <f>IFERROR(__xludf.DUMMYFUNCTION("""COMPUTED_VALUE"""),"Return a target from death with half their HP, must be done before they respawn")</f>
        <v>Return a target from death with half their HP, must be done before they respawn</v>
      </c>
      <c r="F87" s="16" t="str">
        <f>IFERROR(__xludf.DUMMYFUNCTION("""COMPUTED_VALUE"""),"Fail/succeed")</f>
        <v>Fail/succeed</v>
      </c>
      <c r="G87" s="16">
        <f>IFERROR(__xludf.DUMMYFUNCTION("""COMPUTED_VALUE"""),1.0)</f>
        <v>1</v>
      </c>
      <c r="H87" s="16" t="str">
        <f>IFERROR(__xludf.DUMMYFUNCTION("""COMPUTED_VALUE"""),"Dark")</f>
        <v>Dark</v>
      </c>
    </row>
    <row r="88">
      <c r="A88" s="16" t="str">
        <f>IFERROR(__xludf.DUMMYFUNCTION("""COMPUTED_VALUE"""),"Regress")</f>
        <v>Regress</v>
      </c>
      <c r="B88" s="16">
        <f>IFERROR(__xludf.DUMMYFUNCTION("""COMPUTED_VALUE"""),3.0)</f>
        <v>3</v>
      </c>
      <c r="C88" s="16" t="str">
        <f>IFERROR(__xludf.DUMMYFUNCTION("""COMPUTED_VALUE"""),"X")</f>
        <v>X</v>
      </c>
      <c r="D88" s="16"/>
      <c r="E88" s="16" t="str">
        <f>IFERROR(__xludf.DUMMYFUNCTION("""COMPUTED_VALUE"""),"All target’s base stats are reduced by X*2 until the end of battle.")</f>
        <v>All target’s base stats are reduced by X*2 until the end of battle.</v>
      </c>
      <c r="F88" s="16" t="str">
        <f>IFERROR(__xludf.DUMMYFUNCTION("""COMPUTED_VALUE"""),"Fail/Succeed")</f>
        <v>Fail/Succeed</v>
      </c>
      <c r="G88" s="16"/>
      <c r="H88" s="16" t="str">
        <f>IFERROR(__xludf.DUMMYFUNCTION("""COMPUTED_VALUE"""),"Dark")</f>
        <v>Dark</v>
      </c>
    </row>
    <row r="89">
      <c r="A89" s="16" t="str">
        <f>IFERROR(__xludf.DUMMYFUNCTION("""COMPUTED_VALUE"""),"Shade")</f>
        <v>Shade</v>
      </c>
      <c r="B89" s="16">
        <f>IFERROR(__xludf.DUMMYFUNCTION("""COMPUTED_VALUE"""),1.0)</f>
        <v>1</v>
      </c>
      <c r="C89" s="16">
        <f>IFERROR(__xludf.DUMMYFUNCTION("""COMPUTED_VALUE"""),10.0)</f>
        <v>10</v>
      </c>
      <c r="D89" s="16"/>
      <c r="E89" s="16" t="str">
        <f>IFERROR(__xludf.DUMMYFUNCTION("""COMPUTED_VALUE"""),"1000 dark damage and causes the arena to be dark for 3 rounds.")</f>
        <v>1000 dark damage and causes the arena to be dark for 3 rounds.</v>
      </c>
      <c r="F89" s="16" t="str">
        <f>IFERROR(__xludf.DUMMYFUNCTION("""COMPUTED_VALUE"""),"Hit or Miss")</f>
        <v>Hit or Miss</v>
      </c>
      <c r="G89" s="16">
        <f>IFERROR(__xludf.DUMMYFUNCTION("""COMPUTED_VALUE"""),1.0)</f>
        <v>1</v>
      </c>
      <c r="H89" s="16" t="str">
        <f>IFERROR(__xludf.DUMMYFUNCTION("""COMPUTED_VALUE"""),"Dark")</f>
        <v>Dark</v>
      </c>
    </row>
    <row r="90">
      <c r="A90" s="16" t="str">
        <f>IFERROR(__xludf.DUMMYFUNCTION("""COMPUTED_VALUE"""),"Shadow")</f>
        <v>Shadow</v>
      </c>
      <c r="B90" s="16">
        <f>IFERROR(__xludf.DUMMYFUNCTION("""COMPUTED_VALUE"""),4.0)</f>
        <v>4</v>
      </c>
      <c r="C90" s="16">
        <f>IFERROR(__xludf.DUMMYFUNCTION("""COMPUTED_VALUE"""),40.0)</f>
        <v>40</v>
      </c>
      <c r="D90" s="16"/>
      <c r="E90" s="16" t="str">
        <f>IFERROR(__xludf.DUMMYFUNCTION("""COMPUTED_VALUE"""),"4000 Dark Damage, Stun 3 and causes the arena to be dark for 3 rounds.")</f>
        <v>4000 Dark Damage, Stun 3 and causes the arena to be dark for 3 rounds.</v>
      </c>
      <c r="F90" s="16" t="str">
        <f>IFERROR(__xludf.DUMMYFUNCTION("""COMPUTED_VALUE"""),"Hit or Miss")</f>
        <v>Hit or Miss</v>
      </c>
      <c r="G90" s="16">
        <f>IFERROR(__xludf.DUMMYFUNCTION("""COMPUTED_VALUE"""),1.0)</f>
        <v>1</v>
      </c>
      <c r="H90" s="16" t="str">
        <f>IFERROR(__xludf.DUMMYFUNCTION("""COMPUTED_VALUE"""),"Dark")</f>
        <v>Dark</v>
      </c>
    </row>
    <row r="91">
      <c r="A91" s="16" t="str">
        <f>IFERROR(__xludf.DUMMYFUNCTION("""COMPUTED_VALUE"""),"Shadow Strike")</f>
        <v>Shadow Strike</v>
      </c>
      <c r="B91" s="16">
        <f>IFERROR(__xludf.DUMMYFUNCTION("""COMPUTED_VALUE"""),9.0)</f>
        <v>9</v>
      </c>
      <c r="C91" s="16">
        <f>IFERROR(__xludf.DUMMYFUNCTION("""COMPUTED_VALUE"""),300.0)</f>
        <v>300</v>
      </c>
      <c r="D91" s="16"/>
      <c r="E9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91" s="16" t="str">
        <f>IFERROR(__xludf.DUMMYFUNCTION("""COMPUTED_VALUE"""),"Fail/succeed")</f>
        <v>Fail/succeed</v>
      </c>
      <c r="G91" s="16" t="str">
        <f>IFERROR(__xludf.DUMMYFUNCTION("""COMPUTED_VALUE"""),"Self")</f>
        <v>Self</v>
      </c>
      <c r="H91" s="16" t="str">
        <f>IFERROR(__xludf.DUMMYFUNCTION("""COMPUTED_VALUE"""),"Dark")</f>
        <v>Dark</v>
      </c>
    </row>
    <row r="92">
      <c r="A92" s="16" t="str">
        <f>IFERROR(__xludf.DUMMYFUNCTION("""COMPUTED_VALUE"""),"Shadow Vanish")</f>
        <v>Shadow Vanish</v>
      </c>
      <c r="B92" s="16">
        <f>IFERROR(__xludf.DUMMYFUNCTION("""COMPUTED_VALUE"""),9.0)</f>
        <v>9</v>
      </c>
      <c r="C92" s="16">
        <f>IFERROR(__xludf.DUMMYFUNCTION("""COMPUTED_VALUE"""),300.0)</f>
        <v>300</v>
      </c>
      <c r="D92" s="16"/>
      <c r="E92" s="16" t="str">
        <f>IFERROR(__xludf.DUMMYFUNCTION("""COMPUTED_VALUE"""),"Gain invulnerability for 3 rounds, you are unable to inflict any non-magic damage for 3 rounds")</f>
        <v>Gain invulnerability for 3 rounds, you are unable to inflict any non-magic damage for 3 rounds</v>
      </c>
      <c r="F92" s="16" t="str">
        <f>IFERROR(__xludf.DUMMYFUNCTION("""COMPUTED_VALUE"""),"Fail/succeed")</f>
        <v>Fail/succeed</v>
      </c>
      <c r="G92" s="16">
        <f>IFERROR(__xludf.DUMMYFUNCTION("""COMPUTED_VALUE"""),1.0)</f>
        <v>1</v>
      </c>
      <c r="H92" s="16" t="str">
        <f>IFERROR(__xludf.DUMMYFUNCTION("""COMPUTED_VALUE"""),"Dark")</f>
        <v>Dark</v>
      </c>
    </row>
    <row r="93">
      <c r="A93" s="16" t="str">
        <f>IFERROR(__xludf.DUMMYFUNCTION("""COMPUTED_VALUE"""),"Chaincast")</f>
        <v>Chaincast</v>
      </c>
      <c r="B93" s="16">
        <f>IFERROR(__xludf.DUMMYFUNCTION("""COMPUTED_VALUE"""),9.0)</f>
        <v>9</v>
      </c>
      <c r="C93" s="16">
        <f>IFERROR(__xludf.DUMMYFUNCTION("""COMPUTED_VALUE"""),700.0)</f>
        <v>700</v>
      </c>
      <c r="D93" s="16"/>
      <c r="E9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93" s="16" t="str">
        <f>IFERROR(__xludf.DUMMYFUNCTION("""COMPUTED_VALUE"""),"Will Succeed")</f>
        <v>Will Succeed</v>
      </c>
      <c r="G93" s="16"/>
      <c r="H93" s="16" t="str">
        <f>IFERROR(__xludf.DUMMYFUNCTION("""COMPUTED_VALUE"""),"Delta")</f>
        <v>Delta</v>
      </c>
    </row>
    <row r="94">
      <c r="A94" s="16" t="str">
        <f>IFERROR(__xludf.DUMMYFUNCTION("""COMPUTED_VALUE"""),"Delta Ball")</f>
        <v>Delta Ball</v>
      </c>
      <c r="B94" s="16">
        <f>IFERROR(__xludf.DUMMYFUNCTION("""COMPUTED_VALUE"""),4.0)</f>
        <v>4</v>
      </c>
      <c r="C94" s="16">
        <f>IFERROR(__xludf.DUMMYFUNCTION("""COMPUTED_VALUE"""),40.0)</f>
        <v>40</v>
      </c>
      <c r="D94" s="16"/>
      <c r="E94" s="16" t="str">
        <f>IFERROR(__xludf.DUMMYFUNCTION("""COMPUTED_VALUE"""),"Drains 4000 SP from the target.")</f>
        <v>Drains 4000 SP from the target.</v>
      </c>
      <c r="F94" s="16" t="str">
        <f>IFERROR(__xludf.DUMMYFUNCTION("""COMPUTED_VALUE"""),"Hit/Miss")</f>
        <v>Hit/Miss</v>
      </c>
      <c r="G94" s="16">
        <f>IFERROR(__xludf.DUMMYFUNCTION("""COMPUTED_VALUE"""),1.0)</f>
        <v>1</v>
      </c>
      <c r="H94" s="16" t="str">
        <f>IFERROR(__xludf.DUMMYFUNCTION("""COMPUTED_VALUE"""),"Delta")</f>
        <v>Delta</v>
      </c>
    </row>
    <row r="95">
      <c r="A95" s="16" t="str">
        <f>IFERROR(__xludf.DUMMYFUNCTION("""COMPUTED_VALUE"""),"Delta Beam")</f>
        <v>Delta Beam</v>
      </c>
      <c r="B95" s="16">
        <f>IFERROR(__xludf.DUMMYFUNCTION("""COMPUTED_VALUE"""),6.0)</f>
        <v>6</v>
      </c>
      <c r="C95" s="16">
        <f>IFERROR(__xludf.DUMMYFUNCTION("""COMPUTED_VALUE"""),120.0)</f>
        <v>120</v>
      </c>
      <c r="D95" s="16"/>
      <c r="E95" s="16" t="str">
        <f>IFERROR(__xludf.DUMMYFUNCTION("""COMPUTED_VALUE"""),"Deals 6000 delta damage and drains 6000 sp from the target.")</f>
        <v>Deals 6000 delta damage and drains 6000 sp from the target.</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IFERROR(__xludf.DUMMYFUNCTION("""COMPUTED_VALUE"""),"Delta Blast")</f>
        <v>Delta Blast</v>
      </c>
      <c r="B96" s="16">
        <f>IFERROR(__xludf.DUMMYFUNCTION("""COMPUTED_VALUE"""),6.0)</f>
        <v>6</v>
      </c>
      <c r="C96" s="16">
        <f>IFERROR(__xludf.DUMMYFUNCTION("""COMPUTED_VALUE"""),240.0)</f>
        <v>240</v>
      </c>
      <c r="D96" s="16"/>
      <c r="E96" s="16" t="str">
        <f>IFERROR(__xludf.DUMMYFUNCTION("""COMPUTED_VALUE"""),"6000 undefendable Delta damage to all enemies, when in a dungeon knocks back enemies 3 spaces.")</f>
        <v>6000 undefendable Delta damage to all enemies, when in a dungeon knocks back enemies 3 spaces.</v>
      </c>
      <c r="F96" s="16" t="str">
        <f>IFERROR(__xludf.DUMMYFUNCTION("""COMPUTED_VALUE"""),"Cannot Avoid")</f>
        <v>Cannot Avoid</v>
      </c>
      <c r="G96" s="16"/>
      <c r="H96" s="16" t="str">
        <f>IFERROR(__xludf.DUMMYFUNCTION("""COMPUTED_VALUE"""),"Delta")</f>
        <v>Delta</v>
      </c>
    </row>
    <row r="97">
      <c r="A97" s="16" t="str">
        <f>IFERROR(__xludf.DUMMYFUNCTION("""COMPUTED_VALUE"""),"Delta Obelisk")</f>
        <v>Delta Obelisk</v>
      </c>
      <c r="B97" s="16">
        <f>IFERROR(__xludf.DUMMYFUNCTION("""COMPUTED_VALUE"""),8.0)</f>
        <v>8</v>
      </c>
      <c r="C97" s="16">
        <f>IFERROR(__xludf.DUMMYFUNCTION("""COMPUTED_VALUE"""),600.0)</f>
        <v>600</v>
      </c>
      <c r="D97" s="16"/>
      <c r="E9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97" s="16" t="str">
        <f>IFERROR(__xludf.DUMMYFUNCTION("""COMPUTED_VALUE"""),"Will Succeed")</f>
        <v>Will Succeed</v>
      </c>
      <c r="G97" s="16"/>
      <c r="H97" s="16" t="str">
        <f>IFERROR(__xludf.DUMMYFUNCTION("""COMPUTED_VALUE"""),"Delta")</f>
        <v>Delta</v>
      </c>
    </row>
    <row r="98">
      <c r="A98" s="16" t="str">
        <f>IFERROR(__xludf.DUMMYFUNCTION("""COMPUTED_VALUE"""),"Delta Pulse")</f>
        <v>Delta Pulse</v>
      </c>
      <c r="B98" s="16">
        <f>IFERROR(__xludf.DUMMYFUNCTION("""COMPUTED_VALUE"""),5.0)</f>
        <v>5</v>
      </c>
      <c r="C98" s="16" t="str">
        <f>IFERROR(__xludf.DUMMYFUNCTION("""COMPUTED_VALUE"""),"X")</f>
        <v>X</v>
      </c>
      <c r="D98" s="16"/>
      <c r="E98" s="16" t="str">
        <f>IFERROR(__xludf.DUMMYFUNCTION("""COMPUTED_VALUE"""),"Deals X*25 Delta damage to all enemies where X is equal to SP spent.")</f>
        <v>Deals X*25 Delta damage to all enemies where X is equal to SP spent.</v>
      </c>
      <c r="F98" s="16" t="str">
        <f>IFERROR(__xludf.DUMMYFUNCTION("""COMPUTED_VALUE"""),"Cannot Avoid")</f>
        <v>Cannot Avoid</v>
      </c>
      <c r="G98" s="16" t="str">
        <f>IFERROR(__xludf.DUMMYFUNCTION("""COMPUTED_VALUE"""),"All")</f>
        <v>All</v>
      </c>
      <c r="H98" s="16" t="str">
        <f>IFERROR(__xludf.DUMMYFUNCTION("""COMPUTED_VALUE"""),"Delta")</f>
        <v>Delta</v>
      </c>
    </row>
    <row r="99">
      <c r="A99" s="16" t="str">
        <f>IFERROR(__xludf.DUMMYFUNCTION("""COMPUTED_VALUE"""),"Delta Rock")</f>
        <v>Delta Rock</v>
      </c>
      <c r="B99" s="16">
        <f>IFERROR(__xludf.DUMMYFUNCTION("""COMPUTED_VALUE"""),7.0)</f>
        <v>7</v>
      </c>
      <c r="C99" s="16">
        <f>IFERROR(__xludf.DUMMYFUNCTION("""COMPUTED_VALUE"""),500.0)</f>
        <v>500</v>
      </c>
      <c r="D99" s="16"/>
      <c r="E99" s="16" t="str">
        <f>IFERROR(__xludf.DUMMYFUNCTION("""COMPUTED_VALUE"""),"Unleashes a wave of sound. No spell can be casted for the rest of the round.")</f>
        <v>Unleashes a wave of sound. No spell can be casted for the rest of the round.</v>
      </c>
      <c r="F99" s="16" t="str">
        <f>IFERROR(__xludf.DUMMYFUNCTION("""COMPUTED_VALUE"""),"Fail/Succeed")</f>
        <v>Fail/Succeed</v>
      </c>
      <c r="G99" s="16"/>
      <c r="H99" s="16" t="str">
        <f>IFERROR(__xludf.DUMMYFUNCTION("""COMPUTED_VALUE"""),"Delta")</f>
        <v>Delta</v>
      </c>
    </row>
    <row r="100">
      <c r="A100" s="16" t="str">
        <f>IFERROR(__xludf.DUMMYFUNCTION("""COMPUTED_VALUE"""),"Delta Rock &amp; Roll")</f>
        <v>Delta Rock &amp; Roll</v>
      </c>
      <c r="B100" s="16">
        <f>IFERROR(__xludf.DUMMYFUNCTION("""COMPUTED_VALUE"""),8.0)</f>
        <v>8</v>
      </c>
      <c r="C100" s="16" t="str">
        <f>IFERROR(__xludf.DUMMYFUNCTION("""COMPUTED_VALUE"""),"X*600")</f>
        <v>X*600</v>
      </c>
      <c r="D100" s="16"/>
      <c r="E100" s="16" t="str">
        <f>IFERROR(__xludf.DUMMYFUNCTION("""COMPUTED_VALUE"""),"Target enemies are incapable of performing an action for 3 rounds. X=number of enemies.")</f>
        <v>Target enemies are incapable of performing an action for 3 rounds. X=number of enemies.</v>
      </c>
      <c r="F100" s="16" t="str">
        <f>IFERROR(__xludf.DUMMYFUNCTION("""COMPUTED_VALUE"""),"Fail/Succeed")</f>
        <v>Fail/Succeed</v>
      </c>
      <c r="G100" s="16"/>
      <c r="H100" s="16" t="str">
        <f>IFERROR(__xludf.DUMMYFUNCTION("""COMPUTED_VALUE"""),"Delta")</f>
        <v>Delta</v>
      </c>
    </row>
    <row r="101">
      <c r="A101" s="16" t="str">
        <f>IFERROR(__xludf.DUMMYFUNCTION("""COMPUTED_VALUE"""),"Delta Roll")</f>
        <v>Delta Roll</v>
      </c>
      <c r="B101" s="16">
        <f>IFERROR(__xludf.DUMMYFUNCTION("""COMPUTED_VALUE"""),7.0)</f>
        <v>7</v>
      </c>
      <c r="C101" s="16">
        <f>IFERROR(__xludf.DUMMYFUNCTION("""COMPUTED_VALUE"""),500.0)</f>
        <v>500</v>
      </c>
      <c r="D101" s="16"/>
      <c r="E101" s="16" t="str">
        <f>IFERROR(__xludf.DUMMYFUNCTION("""COMPUTED_VALUE"""),"Makes everyone incapable of attacking for the rest of the round.")</f>
        <v>Makes everyone incapable of attacking for the rest of the round.</v>
      </c>
      <c r="F101" s="16" t="str">
        <f>IFERROR(__xludf.DUMMYFUNCTION("""COMPUTED_VALUE"""),"FailSucceed")</f>
        <v>FailSucceed</v>
      </c>
      <c r="G101" s="16"/>
      <c r="H101" s="16" t="str">
        <f>IFERROR(__xludf.DUMMYFUNCTION("""COMPUTED_VALUE"""),"Delta")</f>
        <v>Delta</v>
      </c>
    </row>
    <row r="102">
      <c r="A102" s="16" t="str">
        <f>IFERROR(__xludf.DUMMYFUNCTION("""COMPUTED_VALUE"""),"Delta Strike")</f>
        <v>Delta Strike</v>
      </c>
      <c r="B102" s="16">
        <f>IFERROR(__xludf.DUMMYFUNCTION("""COMPUTED_VALUE"""),1.0)</f>
        <v>1</v>
      </c>
      <c r="C102" s="16" t="str">
        <f>IFERROR(__xludf.DUMMYFUNCTION("""COMPUTED_VALUE"""),"X")</f>
        <v>X</v>
      </c>
      <c r="D102" s="16"/>
      <c r="E102" s="16" t="str">
        <f>IFERROR(__xludf.DUMMYFUNCTION("""COMPUTED_VALUE"""),"Deals X*100 Delta damage to a single enemy where X is equal to SP spent.")</f>
        <v>Deals X*100 Delta damage to a single enemy where X is equal to SP spent.</v>
      </c>
      <c r="F102" s="16" t="str">
        <f>IFERROR(__xludf.DUMMYFUNCTION("""COMPUTED_VALUE"""),"Hit/Miss")</f>
        <v>Hit/Miss</v>
      </c>
      <c r="G102" s="16">
        <f>IFERROR(__xludf.DUMMYFUNCTION("""COMPUTED_VALUE"""),1.0)</f>
        <v>1</v>
      </c>
      <c r="H102" s="16" t="str">
        <f>IFERROR(__xludf.DUMMYFUNCTION("""COMPUTED_VALUE"""),"Delta")</f>
        <v>Delta</v>
      </c>
    </row>
    <row r="103">
      <c r="A103" s="16" t="str">
        <f>IFERROR(__xludf.DUMMYFUNCTION("""COMPUTED_VALUE"""),"Delta World")</f>
        <v>Delta World</v>
      </c>
      <c r="B103" s="16">
        <f>IFERROR(__xludf.DUMMYFUNCTION("""COMPUTED_VALUE"""),9.0)</f>
        <v>9</v>
      </c>
      <c r="C103" s="16">
        <f>IFERROR(__xludf.DUMMYFUNCTION("""COMPUTED_VALUE"""),1000.0)</f>
        <v>1000</v>
      </c>
      <c r="D103" s="16"/>
      <c r="E10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03" s="16" t="str">
        <f>IFERROR(__xludf.DUMMYFUNCTION("""COMPUTED_VALUE"""),"Fail/Succeed")</f>
        <v>Fail/Succeed</v>
      </c>
      <c r="G103" s="16"/>
      <c r="H103" s="16" t="str">
        <f>IFERROR(__xludf.DUMMYFUNCTION("""COMPUTED_VALUE"""),"Delta")</f>
        <v>Delta</v>
      </c>
    </row>
    <row r="104">
      <c r="A104" s="16" t="str">
        <f>IFERROR(__xludf.DUMMYFUNCTION("""COMPUTED_VALUE"""),"False Tower")</f>
        <v>False Tower</v>
      </c>
      <c r="B104" s="16">
        <f>IFERROR(__xludf.DUMMYFUNCTION("""COMPUTED_VALUE"""),8.0)</f>
        <v>8</v>
      </c>
      <c r="C104" s="16">
        <f>IFERROR(__xludf.DUMMYFUNCTION("""COMPUTED_VALUE"""),600.0)</f>
        <v>600</v>
      </c>
      <c r="D104" s="16"/>
      <c r="E10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04" s="16" t="str">
        <f>IFERROR(__xludf.DUMMYFUNCTION("""COMPUTED_VALUE"""),"Fail/Succeed")</f>
        <v>Fail/Succeed</v>
      </c>
      <c r="G104" s="16" t="str">
        <f>IFERROR(__xludf.DUMMYFUNCTION("""COMPUTED_VALUE"""),"All")</f>
        <v>All</v>
      </c>
      <c r="H104" s="16" t="str">
        <f>IFERROR(__xludf.DUMMYFUNCTION("""COMPUTED_VALUE"""),"Delta")</f>
        <v>Delta</v>
      </c>
    </row>
    <row r="105">
      <c r="A105" s="16" t="str">
        <f>IFERROR(__xludf.DUMMYFUNCTION("""COMPUTED_VALUE"""),"Magic Break")</f>
        <v>Magic Break</v>
      </c>
      <c r="B105" s="16">
        <f>IFERROR(__xludf.DUMMYFUNCTION("""COMPUTED_VALUE"""),2.0)</f>
        <v>2</v>
      </c>
      <c r="C105" s="16">
        <f>IFERROR(__xludf.DUMMYFUNCTION("""COMPUTED_VALUE"""),20.0)</f>
        <v>20</v>
      </c>
      <c r="D105" s="16"/>
      <c r="E105" s="16" t="str">
        <f>IFERROR(__xludf.DUMMYFUNCTION("""COMPUTED_VALUE"""),"2000 Delta damage, 25% chance to cancel an ongoing spell effect the target has casted upon themself.")</f>
        <v>2000 Delta damage, 25% chance to cancel an ongoing spell effect the target has casted upon themself.</v>
      </c>
      <c r="F105" s="16" t="str">
        <f>IFERROR(__xludf.DUMMYFUNCTION("""COMPUTED_VALUE"""),"Hit/Miss")</f>
        <v>Hit/Miss</v>
      </c>
      <c r="G105" s="16">
        <f>IFERROR(__xludf.DUMMYFUNCTION("""COMPUTED_VALUE"""),1.0)</f>
        <v>1</v>
      </c>
      <c r="H105" s="16" t="str">
        <f>IFERROR(__xludf.DUMMYFUNCTION("""COMPUTED_VALUE"""),"Delta")</f>
        <v>Delta</v>
      </c>
    </row>
    <row r="106">
      <c r="A106" s="16" t="str">
        <f>IFERROR(__xludf.DUMMYFUNCTION("""COMPUTED_VALUE"""),"Magic Surge")</f>
        <v>Magic Surge</v>
      </c>
      <c r="B106" s="16">
        <f>IFERROR(__xludf.DUMMYFUNCTION("""COMPUTED_VALUE"""),5.0)</f>
        <v>5</v>
      </c>
      <c r="C106" s="16" t="str">
        <f>IFERROR(__xludf.DUMMYFUNCTION("""COMPUTED_VALUE"""),"X")</f>
        <v>X</v>
      </c>
      <c r="D106" s="16"/>
      <c r="E106" s="16" t="str">
        <f>IFERROR(__xludf.DUMMYFUNCTION("""COMPUTED_VALUE"""),"Deals X*50 Delta damage per round for 3 rounds to a single target where X is equal to SP spent.")</f>
        <v>Deals X*50 Delta damage per round for 3 rounds to a single target where X is equal to SP spent.</v>
      </c>
      <c r="F106" s="16" t="str">
        <f>IFERROR(__xludf.DUMMYFUNCTION("""COMPUTED_VALUE"""),"Hit/Miss")</f>
        <v>Hit/Miss</v>
      </c>
      <c r="G106" s="16">
        <f>IFERROR(__xludf.DUMMYFUNCTION("""COMPUTED_VALUE"""),1.0)</f>
        <v>1</v>
      </c>
      <c r="H106" s="16" t="str">
        <f>IFERROR(__xludf.DUMMYFUNCTION("""COMPUTED_VALUE"""),"Delta")</f>
        <v>Delta</v>
      </c>
    </row>
    <row r="107">
      <c r="A107" s="16" t="str">
        <f>IFERROR(__xludf.DUMMYFUNCTION("""COMPUTED_VALUE"""),"Mass Magic Surge")</f>
        <v>Mass Magic Surge</v>
      </c>
      <c r="B107" s="16">
        <f>IFERROR(__xludf.DUMMYFUNCTION("""COMPUTED_VALUE"""),6.0)</f>
        <v>6</v>
      </c>
      <c r="C107" s="16" t="str">
        <f>IFERROR(__xludf.DUMMYFUNCTION("""COMPUTED_VALUE"""),"X")</f>
        <v>X</v>
      </c>
      <c r="D107" s="16"/>
      <c r="E107" s="16" t="str">
        <f>IFERROR(__xludf.DUMMYFUNCTION("""COMPUTED_VALUE"""),"Deals X*10 Delta damage per round to all enemies for 3 rounds where X is equal to SP spent.")</f>
        <v>Deals X*10 Delta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IFERROR(__xludf.DUMMYFUNCTION("""COMPUTED_VALUE"""),"Delta")</f>
        <v>Delta</v>
      </c>
    </row>
    <row r="108">
      <c r="A108" s="16" t="str">
        <f>IFERROR(__xludf.DUMMYFUNCTION("""COMPUTED_VALUE"""),"Mind Blast")</f>
        <v>Mind Blast</v>
      </c>
      <c r="B108" s="16">
        <f>IFERROR(__xludf.DUMMYFUNCTION("""COMPUTED_VALUE"""),1.0)</f>
        <v>1</v>
      </c>
      <c r="C108" s="16">
        <f>IFERROR(__xludf.DUMMYFUNCTION("""COMPUTED_VALUE"""),100.0)</f>
        <v>100</v>
      </c>
      <c r="D108" s="16"/>
      <c r="E108" s="16" t="str">
        <f>IFERROR(__xludf.DUMMYFUNCTION("""COMPUTED_VALUE"""),"Deals 1000 dmg and pacifies an enemy for 3 rounds.")</f>
        <v>Deals 1000 dmg and pacifies an enemy for 3 rounds.</v>
      </c>
      <c r="F108" s="16" t="str">
        <f>IFERROR(__xludf.DUMMYFUNCTION("""COMPUTED_VALUE"""),"Hit/Miss")</f>
        <v>Hit/Miss</v>
      </c>
      <c r="G108" s="16">
        <f>IFERROR(__xludf.DUMMYFUNCTION("""COMPUTED_VALUE"""),1.0)</f>
        <v>1</v>
      </c>
      <c r="H108" s="16" t="str">
        <f>IFERROR(__xludf.DUMMYFUNCTION("""COMPUTED_VALUE"""),"Delta")</f>
        <v>Delta</v>
      </c>
    </row>
    <row r="109">
      <c r="A109" s="16" t="str">
        <f>IFERROR(__xludf.DUMMYFUNCTION("""COMPUTED_VALUE"""),"Rapid Delta Punch")</f>
        <v>Rapid Delta Punch</v>
      </c>
      <c r="B109" s="16">
        <f>IFERROR(__xludf.DUMMYFUNCTION("""COMPUTED_VALUE"""),9.0)</f>
        <v>9</v>
      </c>
      <c r="C109" s="16" t="str">
        <f>IFERROR(__xludf.DUMMYFUNCTION("""COMPUTED_VALUE"""),"X*420")</f>
        <v>X*420</v>
      </c>
      <c r="D109" s="16"/>
      <c r="E109" s="16" t="str">
        <f>IFERROR(__xludf.DUMMYFUNCTION("""COMPUTED_VALUE"""),"Drain 42,000 sp per Punch, X is equal to the amount of punches. X is equal to your attack roll.")</f>
        <v>Drain 42,000 sp per Punch, X is equal to the amount of punches. X is equal to your attack roll.</v>
      </c>
      <c r="F109" s="16" t="str">
        <f>IFERROR(__xludf.DUMMYFUNCTION("""COMPUTED_VALUE"""),"Hit/Miss")</f>
        <v>Hit/Miss</v>
      </c>
      <c r="G109" s="16">
        <f>IFERROR(__xludf.DUMMYFUNCTION("""COMPUTED_VALUE"""),1.0)</f>
        <v>1</v>
      </c>
      <c r="H109" s="16" t="str">
        <f>IFERROR(__xludf.DUMMYFUNCTION("""COMPUTED_VALUE"""),"Delta")</f>
        <v>Delta</v>
      </c>
    </row>
    <row r="110">
      <c r="A110" s="16" t="str">
        <f>IFERROR(__xludf.DUMMYFUNCTION("""COMPUTED_VALUE"""),"Ancient Monolith Of Earth")</f>
        <v>Ancient Monolith Of Earth</v>
      </c>
      <c r="B110" s="16">
        <f>IFERROR(__xludf.DUMMYFUNCTION("""COMPUTED_VALUE"""),9.0)</f>
        <v>9</v>
      </c>
      <c r="C110" s="16">
        <f>IFERROR(__xludf.DUMMYFUNCTION("""COMPUTED_VALUE"""),300.0)</f>
        <v>300</v>
      </c>
      <c r="D110" s="16"/>
      <c r="E110" s="16" t="str">
        <f>IFERROR(__xludf.DUMMYFUNCTION("""COMPUTED_VALUE"""),"X4 additional earth damage for caster and allies. Fire Immunity for caster only.")</f>
        <v>X4 additional earth damage for caster and allies. Fire Immunity for caster only.</v>
      </c>
      <c r="F110" s="16" t="str">
        <f>IFERROR(__xludf.DUMMYFUNCTION("""COMPUTED_VALUE"""),"Fail/Succeed")</f>
        <v>Fail/Succeed</v>
      </c>
      <c r="G110" s="16"/>
      <c r="H110" s="16" t="str">
        <f>IFERROR(__xludf.DUMMYFUNCTION("""COMPUTED_VALUE"""),"Earth")</f>
        <v>Earth</v>
      </c>
    </row>
    <row r="111">
      <c r="A111" s="16" t="str">
        <f>IFERROR(__xludf.DUMMYFUNCTION("""COMPUTED_VALUE"""),"Boulder Toss")</f>
        <v>Boulder Toss</v>
      </c>
      <c r="B111" s="16">
        <f>IFERROR(__xludf.DUMMYFUNCTION("""COMPUTED_VALUE"""),2.0)</f>
        <v>2</v>
      </c>
      <c r="C111" s="16">
        <f>IFERROR(__xludf.DUMMYFUNCTION("""COMPUTED_VALUE"""),20.0)</f>
        <v>20</v>
      </c>
      <c r="D111" s="16"/>
      <c r="E111" s="16" t="str">
        <f>IFERROR(__xludf.DUMMYFUNCTION("""COMPUTED_VALUE"""),"X Earth damage where X is equal to the users accuracy, and -2000 defense for the rest of battle.")</f>
        <v>X Earth damage where X is equal to the users accuracy, and -2000 defense for the rest of battle.</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IFERROR(__xludf.DUMMYFUNCTION("""COMPUTED_VALUE"""),"Breaking Earth")</f>
        <v>Breaking Earth</v>
      </c>
      <c r="B112" s="16">
        <f>IFERROR(__xludf.DUMMYFUNCTION("""COMPUTED_VALUE"""),6.0)</f>
        <v>6</v>
      </c>
      <c r="C112" s="16" t="str">
        <f>IFERROR(__xludf.DUMMYFUNCTION("""COMPUTED_VALUE"""),"X")</f>
        <v>X</v>
      </c>
      <c r="D112" s="16"/>
      <c r="E112" s="16" t="str">
        <f>IFERROR(__xludf.DUMMYFUNCTION("""COMPUTED_VALUE"""),"Deals X*25 Earth damage to all enemies where X is equal to SP spent.")</f>
        <v>Deals X*25 Earth damage to all enemies where X is equal to SP spent.</v>
      </c>
      <c r="F112" s="16" t="str">
        <f>IFERROR(__xludf.DUMMYFUNCTION("""COMPUTED_VALUE"""),"Cannot Avoid")</f>
        <v>Cannot Avoid</v>
      </c>
      <c r="G112" s="16" t="str">
        <f>IFERROR(__xludf.DUMMYFUNCTION("""COMPUTED_VALUE"""),"All")</f>
        <v>All</v>
      </c>
      <c r="H112" s="16" t="str">
        <f>IFERROR(__xludf.DUMMYFUNCTION("""COMPUTED_VALUE"""),"Earth")</f>
        <v>Earth</v>
      </c>
    </row>
    <row r="113">
      <c r="A113" s="16" t="str">
        <f>IFERROR(__xludf.DUMMYFUNCTION("""COMPUTED_VALUE"""),"Calcife")</f>
        <v>Calcife</v>
      </c>
      <c r="B113" s="16">
        <f>IFERROR(__xludf.DUMMYFUNCTION("""COMPUTED_VALUE"""),4.0)</f>
        <v>4</v>
      </c>
      <c r="C113" s="16" t="str">
        <f>IFERROR(__xludf.DUMMYFUNCTION("""COMPUTED_VALUE"""),"X")</f>
        <v>X</v>
      </c>
      <c r="D113" s="16"/>
      <c r="E113" s="16" t="str">
        <f>IFERROR(__xludf.DUMMYFUNCTION("""COMPUTED_VALUE"""),"Target gains X*100 Earth damage and X*100 Earth resistance, can’t be used on self")</f>
        <v>Target gains X*100 Earth damage and X*100 Earth resistance, can’t be used on self</v>
      </c>
      <c r="F113" s="16" t="str">
        <f>IFERROR(__xludf.DUMMYFUNCTION("""COMPUTED_VALUE"""),"Fail/Succeed")</f>
        <v>Fail/Succeed</v>
      </c>
      <c r="G113" s="16"/>
      <c r="H113" s="16" t="str">
        <f>IFERROR(__xludf.DUMMYFUNCTION("""COMPUTED_VALUE"""),"Earth")</f>
        <v>Earth</v>
      </c>
    </row>
    <row r="114">
      <c r="A114" s="16" t="str">
        <f>IFERROR(__xludf.DUMMYFUNCTION("""COMPUTED_VALUE"""),"Calm Earth")</f>
        <v>Calm Earth</v>
      </c>
      <c r="B114" s="16">
        <f>IFERROR(__xludf.DUMMYFUNCTION("""COMPUTED_VALUE"""),7.0)</f>
        <v>7</v>
      </c>
      <c r="C114" s="16" t="str">
        <f>IFERROR(__xludf.DUMMYFUNCTION("""COMPUTED_VALUE"""),"X")</f>
        <v>X</v>
      </c>
      <c r="D114" s="16"/>
      <c r="E11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14" s="16" t="str">
        <f>IFERROR(__xludf.DUMMYFUNCTION("""COMPUTED_VALUE"""),"Fail/Succeed")</f>
        <v>Fail/Succeed</v>
      </c>
      <c r="G114" s="16"/>
      <c r="H114" s="16" t="str">
        <f>IFERROR(__xludf.DUMMYFUNCTION("""COMPUTED_VALUE"""),"Earth")</f>
        <v>Earth</v>
      </c>
    </row>
    <row r="115">
      <c r="A115" s="16" t="str">
        <f>IFERROR(__xludf.DUMMYFUNCTION("""COMPUTED_VALUE"""),"Earthquake")</f>
        <v>Earthquake</v>
      </c>
      <c r="B115" s="16">
        <f>IFERROR(__xludf.DUMMYFUNCTION("""COMPUTED_VALUE"""),5.0)</f>
        <v>5</v>
      </c>
      <c r="C115" s="16" t="str">
        <f>IFERROR(__xludf.DUMMYFUNCTION("""COMPUTED_VALUE"""),"d20*40")</f>
        <v>d20*40</v>
      </c>
      <c r="D115" s="16"/>
      <c r="E11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IFERROR(__xludf.DUMMYFUNCTION("""COMPUTED_VALUE"""),"Landslide")</f>
        <v>Landslide</v>
      </c>
      <c r="B116" s="16">
        <f>IFERROR(__xludf.DUMMYFUNCTION("""COMPUTED_VALUE"""),9.0)</f>
        <v>9</v>
      </c>
      <c r="C116" s="16">
        <f>IFERROR(__xludf.DUMMYFUNCTION("""COMPUTED_VALUE"""),1500.0)</f>
        <v>1500</v>
      </c>
      <c r="D116" s="16"/>
      <c r="E116" s="16" t="str">
        <f>IFERROR(__xludf.DUMMYFUNCTION("""COMPUTED_VALUE"""),"20,000 Undefendable Earth damage. 50% chance of instant death.")</f>
        <v>20,000 Undefendable Earth damage. 50% chance of instant death.</v>
      </c>
      <c r="F116" s="16" t="str">
        <f>IFERROR(__xludf.DUMMYFUNCTION("""COMPUTED_VALUE"""),"Cannot Avoid")</f>
        <v>Cannot Avoid</v>
      </c>
      <c r="G116" s="16">
        <f>IFERROR(__xludf.DUMMYFUNCTION("""COMPUTED_VALUE"""),1.0)</f>
        <v>1</v>
      </c>
      <c r="H116" s="16" t="str">
        <f>IFERROR(__xludf.DUMMYFUNCTION("""COMPUTED_VALUE"""),"Earth")</f>
        <v>Earth</v>
      </c>
    </row>
    <row r="117">
      <c r="A117" s="16" t="str">
        <f>IFERROR(__xludf.DUMMYFUNCTION("""COMPUTED_VALUE"""),"Mass Petrification")</f>
        <v>Mass Petrification</v>
      </c>
      <c r="B117" s="16">
        <f>IFERROR(__xludf.DUMMYFUNCTION("""COMPUTED_VALUE"""),6.0)</f>
        <v>6</v>
      </c>
      <c r="C117" s="16" t="str">
        <f>IFERROR(__xludf.DUMMYFUNCTION("""COMPUTED_VALUE"""),"X")</f>
        <v>X</v>
      </c>
      <c r="D117" s="16"/>
      <c r="E117" s="16" t="str">
        <f>IFERROR(__xludf.DUMMYFUNCTION("""COMPUTED_VALUE"""),"Deals X*10 Earth damage per round to all enemies for 3 rounds where X is equal to SP spent.")</f>
        <v>Deals X*10 Earth damage per round to all enemies for 3 rounds where X is equal to SP spent.</v>
      </c>
      <c r="F117" s="16" t="str">
        <f>IFERROR(__xludf.DUMMYFUNCTION("""COMPUTED_VALUE"""),"Cannot Avoid")</f>
        <v>Cannot Avoid</v>
      </c>
      <c r="G117" s="16" t="str">
        <f>IFERROR(__xludf.DUMMYFUNCTION("""COMPUTED_VALUE"""),"All")</f>
        <v>All</v>
      </c>
      <c r="H117" s="16" t="str">
        <f>IFERROR(__xludf.DUMMYFUNCTION("""COMPUTED_VALUE"""),"Earth")</f>
        <v>Earth</v>
      </c>
    </row>
    <row r="118">
      <c r="A118" s="16" t="str">
        <f>IFERROR(__xludf.DUMMYFUNCTION("""COMPUTED_VALUE"""),"Mountain Formation")</f>
        <v>Mountain Formation</v>
      </c>
      <c r="B118" s="16">
        <f>IFERROR(__xludf.DUMMYFUNCTION("""COMPUTED_VALUE"""),5.0)</f>
        <v>5</v>
      </c>
      <c r="C118" s="16">
        <f>IFERROR(__xludf.DUMMYFUNCTION("""COMPUTED_VALUE"""),50.0)</f>
        <v>50</v>
      </c>
      <c r="D118" s="16"/>
      <c r="E118" s="16" t="str">
        <f>IFERROR(__xludf.DUMMYFUNCTION("""COMPUTED_VALUE"""),"X2 additional earth damage and X4 defense for self and allies.")</f>
        <v>X2 additional earth damage and X4 defense for self and allies.</v>
      </c>
      <c r="F118" s="16" t="str">
        <f>IFERROR(__xludf.DUMMYFUNCTION("""COMPUTED_VALUE"""),"Will Succeed")</f>
        <v>Will Succeed</v>
      </c>
      <c r="G118" s="16"/>
      <c r="H118" s="16" t="str">
        <f>IFERROR(__xludf.DUMMYFUNCTION("""COMPUTED_VALUE"""),"Earth")</f>
        <v>Earth</v>
      </c>
    </row>
    <row r="119">
      <c r="A119" s="16" t="str">
        <f>IFERROR(__xludf.DUMMYFUNCTION("""COMPUTED_VALUE"""),"Mud Sling")</f>
        <v>Mud Sling</v>
      </c>
      <c r="B119" s="16">
        <f>IFERROR(__xludf.DUMMYFUNCTION("""COMPUTED_VALUE"""),1.0)</f>
        <v>1</v>
      </c>
      <c r="C119" s="16">
        <f>IFERROR(__xludf.DUMMYFUNCTION("""COMPUTED_VALUE"""),10.0)</f>
        <v>10</v>
      </c>
      <c r="D119" s="16"/>
      <c r="E119" s="16" t="str">
        <f>IFERROR(__xludf.DUMMYFUNCTION("""COMPUTED_VALUE"""),"50% chance target skips next turn and inflicts them with slowness 3.")</f>
        <v>50% chance target skips next turn and inflicts them with slowness 3.</v>
      </c>
      <c r="F119" s="16" t="str">
        <f>IFERROR(__xludf.DUMMYFUNCTION("""COMPUTED_VALUE"""),"Fail/Succeed")</f>
        <v>Fail/Succeed</v>
      </c>
      <c r="G119" s="16"/>
      <c r="H119" s="16" t="str">
        <f>IFERROR(__xludf.DUMMYFUNCTION("""COMPUTED_VALUE"""),"Earth")</f>
        <v>Earth</v>
      </c>
    </row>
    <row r="120">
      <c r="A120" s="16" t="str">
        <f>IFERROR(__xludf.DUMMYFUNCTION("""COMPUTED_VALUE"""),"Mud Wave")</f>
        <v>Mud Wave</v>
      </c>
      <c r="B120" s="16">
        <f>IFERROR(__xludf.DUMMYFUNCTION("""COMPUTED_VALUE"""),9.0)</f>
        <v>9</v>
      </c>
      <c r="C120" s="16">
        <f>IFERROR(__xludf.DUMMYFUNCTION("""COMPUTED_VALUE"""),400.0)</f>
        <v>400</v>
      </c>
      <c r="D120" s="16"/>
      <c r="E12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20" s="16" t="str">
        <f>IFERROR(__xludf.DUMMYFUNCTION("""COMPUTED_VALUE"""),"Fail/Succeed")</f>
        <v>Fail/Succeed</v>
      </c>
      <c r="G120" s="16" t="str">
        <f>IFERROR(__xludf.DUMMYFUNCTION("""COMPUTED_VALUE"""),"All")</f>
        <v>All</v>
      </c>
      <c r="H120" s="16" t="str">
        <f>IFERROR(__xludf.DUMMYFUNCTION("""COMPUTED_VALUE"""),"Earth")</f>
        <v>Earth</v>
      </c>
    </row>
    <row r="121">
      <c r="A121" s="16" t="str">
        <f>IFERROR(__xludf.DUMMYFUNCTION("""COMPUTED_VALUE"""),"Petrification")</f>
        <v>Petrification</v>
      </c>
      <c r="B121" s="16">
        <f>IFERROR(__xludf.DUMMYFUNCTION("""COMPUTED_VALUE"""),5.0)</f>
        <v>5</v>
      </c>
      <c r="C121" s="16" t="str">
        <f>IFERROR(__xludf.DUMMYFUNCTION("""COMPUTED_VALUE"""),"X")</f>
        <v>X</v>
      </c>
      <c r="D121" s="16"/>
      <c r="E121" s="16" t="str">
        <f>IFERROR(__xludf.DUMMYFUNCTION("""COMPUTED_VALUE"""),"Deals X*50 Earth damage per round for 3 rounds to a single target where X is equal to SP spent.")</f>
        <v>Deals X*50 Earth damage per round for 3 rounds to a single target where X is equal to SP spent.</v>
      </c>
      <c r="F121" s="16" t="str">
        <f>IFERROR(__xludf.DUMMYFUNCTION("""COMPUTED_VALUE"""),"Hit/Miss")</f>
        <v>Hit/Miss</v>
      </c>
      <c r="G121" s="16">
        <f>IFERROR(__xludf.DUMMYFUNCTION("""COMPUTED_VALUE"""),1.0)</f>
        <v>1</v>
      </c>
      <c r="H121" s="16" t="str">
        <f>IFERROR(__xludf.DUMMYFUNCTION("""COMPUTED_VALUE"""),"Earth")</f>
        <v>Earth</v>
      </c>
    </row>
    <row r="122">
      <c r="A122" s="16" t="str">
        <f>IFERROR(__xludf.DUMMYFUNCTION("""COMPUTED_VALUE"""),"Quicksand")</f>
        <v>Quicksand</v>
      </c>
      <c r="B122" s="16">
        <f>IFERROR(__xludf.DUMMYFUNCTION("""COMPUTED_VALUE"""),8.0)</f>
        <v>8</v>
      </c>
      <c r="C122" s="16" t="str">
        <f>IFERROR(__xludf.DUMMYFUNCTION("""COMPUTED_VALUE"""),"X*10")</f>
        <v>X*10</v>
      </c>
      <c r="D122" s="16"/>
      <c r="E122" s="16" t="str">
        <f>IFERROR(__xludf.DUMMYFUNCTION("""COMPUTED_VALUE"""),"Instantly kills all enemies. The % chance of instant death is XSP.")</f>
        <v>Instantly kills all enemies. The % chance of instant death is XSP.</v>
      </c>
      <c r="F122" s="16" t="str">
        <f>IFERROR(__xludf.DUMMYFUNCTION("""COMPUTED_VALUE"""),"Fail/Succeed")</f>
        <v>Fail/Succeed</v>
      </c>
      <c r="G122" s="16"/>
      <c r="H122" s="16" t="str">
        <f>IFERROR(__xludf.DUMMYFUNCTION("""COMPUTED_VALUE"""),"Earth")</f>
        <v>Earth</v>
      </c>
    </row>
    <row r="123">
      <c r="A123" s="16" t="str">
        <f>IFERROR(__xludf.DUMMYFUNCTION("""COMPUTED_VALUE"""),"Rock Cycle")</f>
        <v>Rock Cycle</v>
      </c>
      <c r="B123" s="16">
        <f>IFERROR(__xludf.DUMMYFUNCTION("""COMPUTED_VALUE"""),9.0)</f>
        <v>9</v>
      </c>
      <c r="C123" s="16">
        <f>IFERROR(__xludf.DUMMYFUNCTION("""COMPUTED_VALUE"""),300.0)</f>
        <v>300</v>
      </c>
      <c r="D123" s="16"/>
      <c r="E123" s="16" t="str">
        <f>IFERROR(__xludf.DUMMYFUNCTION("""COMPUTED_VALUE"""),"Become unaffected by status effects, spells and weapons for 3 rounds.")</f>
        <v>Become unaffected by status effects, spells and weapons for 3 rounds.</v>
      </c>
      <c r="F123" s="16" t="str">
        <f>IFERROR(__xludf.DUMMYFUNCTION("""COMPUTED_VALUE"""),"Fail/Succeed")</f>
        <v>Fail/Succeed</v>
      </c>
      <c r="G123" s="16"/>
      <c r="H123" s="16" t="str">
        <f>IFERROR(__xludf.DUMMYFUNCTION("""COMPUTED_VALUE"""),"Earth")</f>
        <v>Earth</v>
      </c>
    </row>
    <row r="124">
      <c r="A124" s="16" t="str">
        <f>IFERROR(__xludf.DUMMYFUNCTION("""COMPUTED_VALUE"""),"Rock Shot")</f>
        <v>Rock Shot</v>
      </c>
      <c r="B124" s="16">
        <f>IFERROR(__xludf.DUMMYFUNCTION("""COMPUTED_VALUE"""),1.0)</f>
        <v>1</v>
      </c>
      <c r="C124" s="16" t="str">
        <f>IFERROR(__xludf.DUMMYFUNCTION("""COMPUTED_VALUE"""),"X")</f>
        <v>X</v>
      </c>
      <c r="D124" s="16"/>
      <c r="E124" s="16" t="str">
        <f>IFERROR(__xludf.DUMMYFUNCTION("""COMPUTED_VALUE"""),"Deals X*100 Earth damage to a single enemy where X is equal to SP spent.")</f>
        <v>Deals X*100 Earth damage to a single enemy where X is equal to SP spent.</v>
      </c>
      <c r="F124" s="16" t="str">
        <f>IFERROR(__xludf.DUMMYFUNCTION("""COMPUTED_VALUE"""),"Hit/Miss")</f>
        <v>Hit/Miss</v>
      </c>
      <c r="G124" s="16">
        <f>IFERROR(__xludf.DUMMYFUNCTION("""COMPUTED_VALUE"""),1.0)</f>
        <v>1</v>
      </c>
      <c r="H124" s="16" t="str">
        <f>IFERROR(__xludf.DUMMYFUNCTION("""COMPUTED_VALUE"""),"Earth")</f>
        <v>Earth</v>
      </c>
    </row>
    <row r="125">
      <c r="A125" s="16" t="str">
        <f>IFERROR(__xludf.DUMMYFUNCTION("""COMPUTED_VALUE"""),"Sandstorm")</f>
        <v>Sandstorm</v>
      </c>
      <c r="B125" s="16">
        <f>IFERROR(__xludf.DUMMYFUNCTION("""COMPUTED_VALUE"""),9.0)</f>
        <v>9</v>
      </c>
      <c r="C125" s="16">
        <f>IFERROR(__xludf.DUMMYFUNCTION("""COMPUTED_VALUE"""),300.0)</f>
        <v>300</v>
      </c>
      <c r="D125" s="16"/>
      <c r="E125" s="16" t="str">
        <f>IFERROR(__xludf.DUMMYFUNCTION("""COMPUTED_VALUE"""),"20,000 Earth damage to all enemies, 25% chance of Blindness 3, and Slowness 3.")</f>
        <v>20,000 Earth damage to all enemies, 25% chance of Blindness 3, and Slowness 3.</v>
      </c>
      <c r="F125" s="16" t="str">
        <f>IFERROR(__xludf.DUMMYFUNCTION("""COMPUTED_VALUE"""),"Cannot Avoid")</f>
        <v>Cannot Avoid</v>
      </c>
      <c r="G125" s="16" t="str">
        <f>IFERROR(__xludf.DUMMYFUNCTION("""COMPUTED_VALUE"""),"All")</f>
        <v>All</v>
      </c>
      <c r="H125" s="16" t="str">
        <f>IFERROR(__xludf.DUMMYFUNCTION("""COMPUTED_VALUE"""),"Earth")</f>
        <v>Earth</v>
      </c>
    </row>
    <row r="126">
      <c r="A126" s="16" t="str">
        <f>IFERROR(__xludf.DUMMYFUNCTION("""COMPUTED_VALUE"""),"Tremor")</f>
        <v>Tremor</v>
      </c>
      <c r="B126" s="16">
        <f>IFERROR(__xludf.DUMMYFUNCTION("""COMPUTED_VALUE"""),3.0)</f>
        <v>3</v>
      </c>
      <c r="C126" s="16" t="str">
        <f>IFERROR(__xludf.DUMMYFUNCTION("""COMPUTED_VALUE"""),"d12*20")</f>
        <v>d12*20</v>
      </c>
      <c r="D126" s="16"/>
      <c r="E12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26" s="16" t="str">
        <f>IFERROR(__xludf.DUMMYFUNCTION("""COMPUTED_VALUE"""),"Cannot Avoid")</f>
        <v>Cannot Avoid</v>
      </c>
      <c r="G126" s="16"/>
      <c r="H126" s="16" t="str">
        <f>IFERROR(__xludf.DUMMYFUNCTION("""COMPUTED_VALUE"""),"Earth")</f>
        <v>Earth</v>
      </c>
    </row>
    <row r="127">
      <c r="A127" s="16" t="str">
        <f>IFERROR(__xludf.DUMMYFUNCTION("""COMPUTED_VALUE"""),"Calm Fire")</f>
        <v>Calm Fire</v>
      </c>
      <c r="B127" s="16">
        <f>IFERROR(__xludf.DUMMYFUNCTION("""COMPUTED_VALUE"""),7.0)</f>
        <v>7</v>
      </c>
      <c r="C127" s="16">
        <f>IFERROR(__xludf.DUMMYFUNCTION("""COMPUTED_VALUE"""),100.0)</f>
        <v>100</v>
      </c>
      <c r="D127" s="16"/>
      <c r="E127" s="16" t="str">
        <f>IFERROR(__xludf.DUMMYFUNCTION("""COMPUTED_VALUE"""),"Negate X points of fire damage")</f>
        <v>Negate X points of fire damage</v>
      </c>
      <c r="F127" s="16" t="str">
        <f>IFERROR(__xludf.DUMMYFUNCTION("""COMPUTED_VALUE"""),"Fail/Succeed")</f>
        <v>Fail/Succeed</v>
      </c>
      <c r="G127" s="16"/>
      <c r="H127" s="16" t="str">
        <f>IFERROR(__xludf.DUMMYFUNCTION("""COMPUTED_VALUE"""),"Fire")</f>
        <v>Fire</v>
      </c>
    </row>
    <row r="128">
      <c r="A128" s="16" t="str">
        <f>IFERROR(__xludf.DUMMYFUNCTION("""COMPUTED_VALUE"""),"Fire Bolt")</f>
        <v>Fire Bolt</v>
      </c>
      <c r="B128" s="16">
        <f>IFERROR(__xludf.DUMMYFUNCTION("""COMPUTED_VALUE"""),1.0)</f>
        <v>1</v>
      </c>
      <c r="C128" s="16" t="str">
        <f>IFERROR(__xludf.DUMMYFUNCTION("""COMPUTED_VALUE"""),"X")</f>
        <v>X</v>
      </c>
      <c r="D128" s="16"/>
      <c r="E128" s="16" t="str">
        <f>IFERROR(__xludf.DUMMYFUNCTION("""COMPUTED_VALUE"""),"Deals X*100 Fire damage to a single enemy where X is equal to SP spent.")</f>
        <v>Deals X*100 Fire damage to a single enemy where X is equal to SP spent.</v>
      </c>
      <c r="F128" s="16" t="str">
        <f>IFERROR(__xludf.DUMMYFUNCTION("""COMPUTED_VALUE"""),"Hit/Miss")</f>
        <v>Hit/Miss</v>
      </c>
      <c r="G128" s="16">
        <f>IFERROR(__xludf.DUMMYFUNCTION("""COMPUTED_VALUE"""),1.0)</f>
        <v>1</v>
      </c>
      <c r="H128" s="16" t="str">
        <f>IFERROR(__xludf.DUMMYFUNCTION("""COMPUTED_VALUE"""),"Fire")</f>
        <v>Fire</v>
      </c>
    </row>
    <row r="129">
      <c r="A129" s="16" t="str">
        <f>IFERROR(__xludf.DUMMYFUNCTION("""COMPUTED_VALUE"""),"Flame Sanctuary")</f>
        <v>Flame Sanctuary</v>
      </c>
      <c r="B129" s="16">
        <f>IFERROR(__xludf.DUMMYFUNCTION("""COMPUTED_VALUE"""),9.0)</f>
        <v>9</v>
      </c>
      <c r="C129" s="16">
        <f>IFERROR(__xludf.DUMMYFUNCTION("""COMPUTED_VALUE"""),300.0)</f>
        <v>300</v>
      </c>
      <c r="D129" s="16"/>
      <c r="E12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29" s="16" t="str">
        <f>IFERROR(__xludf.DUMMYFUNCTION("""COMPUTED_VALUE"""),"Fail/Succeed")</f>
        <v>Fail/Succeed</v>
      </c>
      <c r="G129" s="16"/>
      <c r="H129" s="16" t="str">
        <f>IFERROR(__xludf.DUMMYFUNCTION("""COMPUTED_VALUE"""),"Fire")</f>
        <v>Fire</v>
      </c>
    </row>
    <row r="130">
      <c r="A130" s="16" t="str">
        <f>IFERROR(__xludf.DUMMYFUNCTION("""COMPUTED_VALUE"""),"Flame Thrower")</f>
        <v>Flame Thrower</v>
      </c>
      <c r="B130" s="16">
        <f>IFERROR(__xludf.DUMMYFUNCTION("""COMPUTED_VALUE"""),5.0)</f>
        <v>5</v>
      </c>
      <c r="C130" s="16" t="str">
        <f>IFERROR(__xludf.DUMMYFUNCTION("""COMPUTED_VALUE"""),"X")</f>
        <v>X</v>
      </c>
      <c r="D130" s="16"/>
      <c r="E130" s="16" t="str">
        <f>IFERROR(__xludf.DUMMYFUNCTION("""COMPUTED_VALUE"""),"Deals X*50 Burn for 3 rounds to a single target where X is equal to SP spent.")</f>
        <v>Deals X*50 Burn for 3 rounds to a single target where X is equal to SP spent.</v>
      </c>
      <c r="F130" s="16" t="str">
        <f>IFERROR(__xludf.DUMMYFUNCTION("""COMPUTED_VALUE"""),"Hit/Miss")</f>
        <v>Hit/Miss</v>
      </c>
      <c r="G130" s="16">
        <f>IFERROR(__xludf.DUMMYFUNCTION("""COMPUTED_VALUE"""),1.0)</f>
        <v>1</v>
      </c>
      <c r="H130" s="16" t="str">
        <f>IFERROR(__xludf.DUMMYFUNCTION("""COMPUTED_VALUE"""),"Fire")</f>
        <v>Fire</v>
      </c>
    </row>
    <row r="131">
      <c r="A131" s="16" t="str">
        <f>IFERROR(__xludf.DUMMYFUNCTION("""COMPUTED_VALUE"""),"Flames of the Undead")</f>
        <v>Flames of the Undead</v>
      </c>
      <c r="B131" s="16">
        <f>IFERROR(__xludf.DUMMYFUNCTION("""COMPUTED_VALUE"""),3.0)</f>
        <v>3</v>
      </c>
      <c r="C131" s="16" t="str">
        <f>IFERROR(__xludf.DUMMYFUNCTION("""COMPUTED_VALUE"""),"X")</f>
        <v>X</v>
      </c>
      <c r="D131" s="16"/>
      <c r="E131" s="16" t="str">
        <f>IFERROR(__xludf.DUMMYFUNCTION("""COMPUTED_VALUE"""),"Can only be used by Undead, deals X*10 damage to all non-undead enemies, and X*100 to all Undead enemies.")</f>
        <v>Can only be used by Undead, deals X*10 damage to all non-undead enemies, and X*100 to all Undead enemies.</v>
      </c>
      <c r="F131" s="16" t="str">
        <f>IFERROR(__xludf.DUMMYFUNCTION("""COMPUTED_VALUE"""),"Cannot Avoid")</f>
        <v>Cannot Avoid</v>
      </c>
      <c r="G131" s="16" t="str">
        <f>IFERROR(__xludf.DUMMYFUNCTION("""COMPUTED_VALUE"""),"All")</f>
        <v>All</v>
      </c>
      <c r="H131" s="16" t="str">
        <f>IFERROR(__xludf.DUMMYFUNCTION("""COMPUTED_VALUE"""),"Fire")</f>
        <v>Fire</v>
      </c>
    </row>
    <row r="132">
      <c r="A132" s="16" t="str">
        <f>IFERROR(__xludf.DUMMYFUNCTION("""COMPUTED_VALUE"""),"Forgotten Fire")</f>
        <v>Forgotten Fire</v>
      </c>
      <c r="B132" s="16">
        <f>IFERROR(__xludf.DUMMYFUNCTION("""COMPUTED_VALUE"""),8.0)</f>
        <v>8</v>
      </c>
      <c r="C132" s="16">
        <f>IFERROR(__xludf.DUMMYFUNCTION("""COMPUTED_VALUE"""),200.0)</f>
        <v>200</v>
      </c>
      <c r="D132" s="16"/>
      <c r="E132" s="16" t="str">
        <f>IFERROR(__xludf.DUMMYFUNCTION("""COMPUTED_VALUE"""),"Any damage you take from the next attack is doubled. Any fire damage you deal from your next attack is X4.")</f>
        <v>Any damage you take from the next attack is doubled. Any fire damage you deal from your next attack is X4.</v>
      </c>
      <c r="F132" s="16" t="str">
        <f>IFERROR(__xludf.DUMMYFUNCTION("""COMPUTED_VALUE"""),"Will Succeed")</f>
        <v>Will Succeed</v>
      </c>
      <c r="G132" s="16"/>
      <c r="H132" s="16" t="str">
        <f>IFERROR(__xludf.DUMMYFUNCTION("""COMPUTED_VALUE"""),"Fire")</f>
        <v>Fire</v>
      </c>
    </row>
    <row r="133">
      <c r="A133" s="16" t="str">
        <f>IFERROR(__xludf.DUMMYFUNCTION("""COMPUTED_VALUE"""),"Ignite")</f>
        <v>Ignite</v>
      </c>
      <c r="B133" s="16">
        <f>IFERROR(__xludf.DUMMYFUNCTION("""COMPUTED_VALUE"""),4.0)</f>
        <v>4</v>
      </c>
      <c r="C133" s="16" t="str">
        <f>IFERROR(__xludf.DUMMYFUNCTION("""COMPUTED_VALUE"""),"X")</f>
        <v>X</v>
      </c>
      <c r="D133" s="16"/>
      <c r="E133" s="16" t="str">
        <f>IFERROR(__xludf.DUMMYFUNCTION("""COMPUTED_VALUE"""),"Target gains X*4 Fire damage and X*4 Fire resistance, can’t be used on self")</f>
        <v>Target gains X*4 Fire damage and X*4 Fire resistance, can’t be used on self</v>
      </c>
      <c r="F133" s="16" t="str">
        <f>IFERROR(__xludf.DUMMYFUNCTION("""COMPUTED_VALUE"""),"Will Succeed")</f>
        <v>Will Succeed</v>
      </c>
      <c r="G133" s="16"/>
      <c r="H133" s="16" t="str">
        <f>IFERROR(__xludf.DUMMYFUNCTION("""COMPUTED_VALUE"""),"Fire")</f>
        <v>Fire</v>
      </c>
    </row>
    <row r="134">
      <c r="A134" s="16" t="str">
        <f>IFERROR(__xludf.DUMMYFUNCTION("""COMPUTED_VALUE"""),"Last Resort")</f>
        <v>Last Resort</v>
      </c>
      <c r="B134" s="16">
        <f>IFERROR(__xludf.DUMMYFUNCTION("""COMPUTED_VALUE"""),8.0)</f>
        <v>8</v>
      </c>
      <c r="C134" s="16"/>
      <c r="D134" s="16" t="str">
        <f>IFERROR(__xludf.DUMMYFUNCTION("""COMPUTED_VALUE"""),"X")</f>
        <v>X</v>
      </c>
      <c r="E134" s="16" t="str">
        <f>IFERROR(__xludf.DUMMYFUNCTION("""COMPUTED_VALUE"""),"You die and every enemy takes X*4 Fire Damage. X is equal to your current HP.")</f>
        <v>You die and every enemy takes X*4 Fire Damage. X is equal to your current HP.</v>
      </c>
      <c r="F134" s="16" t="str">
        <f>IFERROR(__xludf.DUMMYFUNCTION("""COMPUTED_VALUE"""),"Will Succeed")</f>
        <v>Will Succeed</v>
      </c>
      <c r="G134" s="16"/>
      <c r="H134" s="16" t="str">
        <f>IFERROR(__xludf.DUMMYFUNCTION("""COMPUTED_VALUE"""),"Fire")</f>
        <v>Fire</v>
      </c>
    </row>
    <row r="135">
      <c r="A135" s="16" t="str">
        <f>IFERROR(__xludf.DUMMYFUNCTION("""COMPUTED_VALUE"""),"Lesser Nova")</f>
        <v>Lesser Nova</v>
      </c>
      <c r="B135" s="16">
        <f>IFERROR(__xludf.DUMMYFUNCTION("""COMPUTED_VALUE"""),3.0)</f>
        <v>3</v>
      </c>
      <c r="C135" s="16" t="str">
        <f>IFERROR(__xludf.DUMMYFUNCTION("""COMPUTED_VALUE"""),"X")</f>
        <v>X</v>
      </c>
      <c r="D135" s="16"/>
      <c r="E135" s="16" t="str">
        <f>IFERROR(__xludf.DUMMYFUNCTION("""COMPUTED_VALUE"""),"X*25 Fire damage where X equals sp spent.")</f>
        <v>X*25 Fire damage where X equals sp spent.</v>
      </c>
      <c r="F135" s="16" t="str">
        <f>IFERROR(__xludf.DUMMYFUNCTION("""COMPUTED_VALUE"""),"Fail/Succeed")</f>
        <v>Fail/Succeed</v>
      </c>
      <c r="G135" s="16"/>
      <c r="H135" s="16" t="str">
        <f>IFERROR(__xludf.DUMMYFUNCTION("""COMPUTED_VALUE"""),"Fire")</f>
        <v>Fire</v>
      </c>
    </row>
    <row r="136">
      <c r="A136" s="16" t="str">
        <f>IFERROR(__xludf.DUMMYFUNCTION("""COMPUTED_VALUE"""),"Mass Ignition")</f>
        <v>Mass Ignition</v>
      </c>
      <c r="B136" s="16">
        <f>IFERROR(__xludf.DUMMYFUNCTION("""COMPUTED_VALUE"""),6.0)</f>
        <v>6</v>
      </c>
      <c r="C136" s="16" t="str">
        <f>IFERROR(__xludf.DUMMYFUNCTION("""COMPUTED_VALUE"""),"X")</f>
        <v>X</v>
      </c>
      <c r="D136" s="16"/>
      <c r="E136" s="16" t="str">
        <f>IFERROR(__xludf.DUMMYFUNCTION("""COMPUTED_VALUE"""),"Deals X*10 Burn to all enemies for 3 rounds where X is equal to SP spent.")</f>
        <v>Deals X*10 Burn to all enemies for 3 rounds where X is equal to SP spent.</v>
      </c>
      <c r="F136" s="16" t="str">
        <f>IFERROR(__xludf.DUMMYFUNCTION("""COMPUTED_VALUE"""),"Cannot Avoid")</f>
        <v>Cannot Avoid</v>
      </c>
      <c r="G136" s="16" t="str">
        <f>IFERROR(__xludf.DUMMYFUNCTION("""COMPUTED_VALUE"""),"All")</f>
        <v>All</v>
      </c>
      <c r="H136" s="16" t="str">
        <f>IFERROR(__xludf.DUMMYFUNCTION("""COMPUTED_VALUE"""),"Fire")</f>
        <v>Fire</v>
      </c>
    </row>
    <row r="137">
      <c r="A137" s="16" t="str">
        <f>IFERROR(__xludf.DUMMYFUNCTION("""COMPUTED_VALUE"""),"Meteor Shower")</f>
        <v>Meteor Shower</v>
      </c>
      <c r="B137" s="16">
        <f>IFERROR(__xludf.DUMMYFUNCTION("""COMPUTED_VALUE"""),5.0)</f>
        <v>5</v>
      </c>
      <c r="C137" s="16" t="str">
        <f>IFERROR(__xludf.DUMMYFUNCTION("""COMPUTED_VALUE"""),"X")</f>
        <v>X</v>
      </c>
      <c r="D137" s="16"/>
      <c r="E137" s="16" t="str">
        <f>IFERROR(__xludf.DUMMYFUNCTION("""COMPUTED_VALUE"""),"Deals X*25 Fire damage to all enemies where X is equal to SP spent.")</f>
        <v>Deals X*25 Fire damage to all enemies where X is equal to SP spent.</v>
      </c>
      <c r="F137" s="16" t="str">
        <f>IFERROR(__xludf.DUMMYFUNCTION("""COMPUTED_VALUE"""),"Cannot Avoid")</f>
        <v>Cannot Avoid</v>
      </c>
      <c r="G137" s="16" t="str">
        <f>IFERROR(__xludf.DUMMYFUNCTION("""COMPUTED_VALUE"""),"All")</f>
        <v>All</v>
      </c>
      <c r="H137" s="16" t="str">
        <f>IFERROR(__xludf.DUMMYFUNCTION("""COMPUTED_VALUE"""),"Fire")</f>
        <v>Fire</v>
      </c>
    </row>
    <row r="138">
      <c r="A138" s="16" t="str">
        <f>IFERROR(__xludf.DUMMYFUNCTION("""COMPUTED_VALUE"""),"Solar Storm")</f>
        <v>Solar Storm</v>
      </c>
      <c r="B138" s="16">
        <f>IFERROR(__xludf.DUMMYFUNCTION("""COMPUTED_VALUE"""),9.0)</f>
        <v>9</v>
      </c>
      <c r="C138" s="16">
        <f>IFERROR(__xludf.DUMMYFUNCTION("""COMPUTED_VALUE"""),2000.0)</f>
        <v>2000</v>
      </c>
      <c r="D138" s="16"/>
      <c r="E138" s="16" t="str">
        <f>IFERROR(__xludf.DUMMYFUNCTION("""COMPUTED_VALUE"""),"20,000 burn to all enemies for 3 rounds. X2 fire damage for self and allies for 3 rounds.")</f>
        <v>20,000 burn to all enemies for 3 rounds. X2 fire damage for self and allies for 3 rounds.</v>
      </c>
      <c r="F138" s="16" t="str">
        <f>IFERROR(__xludf.DUMMYFUNCTION("""COMPUTED_VALUE"""),"Cannot Avoid")</f>
        <v>Cannot Avoid</v>
      </c>
      <c r="G138" s="16"/>
      <c r="H138" s="16" t="str">
        <f>IFERROR(__xludf.DUMMYFUNCTION("""COMPUTED_VALUE"""),"Fire")</f>
        <v>Fire</v>
      </c>
    </row>
    <row r="139">
      <c r="A139" s="16" t="str">
        <f>IFERROR(__xludf.DUMMYFUNCTION("""COMPUTED_VALUE"""),"Volcanic Rain")</f>
        <v>Volcanic Rain</v>
      </c>
      <c r="B139" s="16">
        <f>IFERROR(__xludf.DUMMYFUNCTION("""COMPUTED_VALUE"""),9.0)</f>
        <v>9</v>
      </c>
      <c r="C139" s="16">
        <f>IFERROR(__xludf.DUMMYFUNCTION("""COMPUTED_VALUE"""),25000.0)</f>
        <v>25000</v>
      </c>
      <c r="D139" s="16"/>
      <c r="E13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39" s="16" t="str">
        <f>IFERROR(__xludf.DUMMYFUNCTION("""COMPUTED_VALUE"""),"Cannot Avoid")</f>
        <v>Cannot Avoid</v>
      </c>
      <c r="G139" s="16"/>
      <c r="H139" s="16" t="str">
        <f>IFERROR(__xludf.DUMMYFUNCTION("""COMPUTED_VALUE"""),"Fire")</f>
        <v>Fire</v>
      </c>
    </row>
    <row r="140">
      <c r="A140" s="16" t="str">
        <f>IFERROR(__xludf.DUMMYFUNCTION("""COMPUTED_VALUE"""),"Volcanic Wall")</f>
        <v>Volcanic Wall</v>
      </c>
      <c r="B140" s="16">
        <f>IFERROR(__xludf.DUMMYFUNCTION("""COMPUTED_VALUE"""),9.0)</f>
        <v>9</v>
      </c>
      <c r="C140" s="16">
        <f>IFERROR(__xludf.DUMMYFUNCTION("""COMPUTED_VALUE"""),300.0)</f>
        <v>300</v>
      </c>
      <c r="D140" s="16"/>
      <c r="E14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40" s="16" t="str">
        <f>IFERROR(__xludf.DUMMYFUNCTION("""COMPUTED_VALUE"""),"Fail/Succeed")</f>
        <v>Fail/Succeed</v>
      </c>
      <c r="G140" s="16"/>
      <c r="H140" s="16" t="str">
        <f>IFERROR(__xludf.DUMMYFUNCTION("""COMPUTED_VALUE"""),"Fire")</f>
        <v>Fire</v>
      </c>
    </row>
    <row r="141">
      <c r="A141" s="16" t="str">
        <f>IFERROR(__xludf.DUMMYFUNCTION("""COMPUTED_VALUE"""),"Wall of Flames")</f>
        <v>Wall of Flames</v>
      </c>
      <c r="B141" s="16">
        <f>IFERROR(__xludf.DUMMYFUNCTION("""COMPUTED_VALUE"""),9.0)</f>
        <v>9</v>
      </c>
      <c r="C141" s="16">
        <f>IFERROR(__xludf.DUMMYFUNCTION("""COMPUTED_VALUE"""),2000.0)</f>
        <v>2000</v>
      </c>
      <c r="D141" s="16"/>
      <c r="E141" s="16" t="str">
        <f>IFERROR(__xludf.DUMMYFUNCTION("""COMPUTED_VALUE"""),"Deals 20,000 fire damage per round to all enemies that doubles each round for 3 rounds.")</f>
        <v>Deals 20,000 fire damage per round to all enemies that doubles each round for 3 rounds.</v>
      </c>
      <c r="F141" s="16" t="str">
        <f>IFERROR(__xludf.DUMMYFUNCTION("""COMPUTED_VALUE"""),"Fail/Succeed")</f>
        <v>Fail/Succeed</v>
      </c>
      <c r="G141" s="16" t="str">
        <f>IFERROR(__xludf.DUMMYFUNCTION("""COMPUTED_VALUE"""),"All")</f>
        <v>All</v>
      </c>
      <c r="H141" s="16" t="str">
        <f>IFERROR(__xludf.DUMMYFUNCTION("""COMPUTED_VALUE"""),"Fire")</f>
        <v>Fire</v>
      </c>
    </row>
    <row r="142">
      <c r="A142" s="16" t="str">
        <f>IFERROR(__xludf.DUMMYFUNCTION("""COMPUTED_VALUE"""),"Baptize")</f>
        <v>Baptize</v>
      </c>
      <c r="B142" s="16">
        <f>IFERROR(__xludf.DUMMYFUNCTION("""COMPUTED_VALUE"""),4.0)</f>
        <v>4</v>
      </c>
      <c r="C142" s="16">
        <f>IFERROR(__xludf.DUMMYFUNCTION("""COMPUTED_VALUE"""),40.0)</f>
        <v>40</v>
      </c>
      <c r="D142" s="16"/>
      <c r="E142" s="16" t="str">
        <f>IFERROR(__xludf.DUMMYFUNCTION("""COMPUTED_VALUE"""),"Target becomes immune to light and dark until the end of Battle. Cannot be casted on self.")</f>
        <v>Target becomes immune to light and dark until the end of Battle. Cannot be casted on self.</v>
      </c>
      <c r="F142" s="16" t="str">
        <f>IFERROR(__xludf.DUMMYFUNCTION("""COMPUTED_VALUE"""),"Fail/Succeed")</f>
        <v>Fail/Succeed</v>
      </c>
      <c r="G142" s="16"/>
      <c r="H142" s="16" t="str">
        <f>IFERROR(__xludf.DUMMYFUNCTION("""COMPUTED_VALUE"""),"Light")</f>
        <v>Light</v>
      </c>
    </row>
    <row r="143">
      <c r="A143" s="16" t="str">
        <f>IFERROR(__xludf.DUMMYFUNCTION("""COMPUTED_VALUE"""),"Bless")</f>
        <v>Bless</v>
      </c>
      <c r="B143" s="16">
        <f>IFERROR(__xludf.DUMMYFUNCTION("""COMPUTED_VALUE"""),4.0)</f>
        <v>4</v>
      </c>
      <c r="C143" s="16" t="str">
        <f>IFERROR(__xludf.DUMMYFUNCTION("""COMPUTED_VALUE"""),"X")</f>
        <v>X</v>
      </c>
      <c r="D143" s="16"/>
      <c r="E143" s="16" t="str">
        <f>IFERROR(__xludf.DUMMYFUNCTION("""COMPUTED_VALUE"""),"Target gains X*4 Light damage and X*4 Light resistance, can’t be used on self")</f>
        <v>Target gains X*4 Light damage and X*4 Light resistance, can’t be used on self</v>
      </c>
      <c r="F143" s="16" t="str">
        <f>IFERROR(__xludf.DUMMYFUNCTION("""COMPUTED_VALUE"""),"Will Succeed")</f>
        <v>Will Succeed</v>
      </c>
      <c r="G143" s="16"/>
      <c r="H143" s="16" t="str">
        <f>IFERROR(__xludf.DUMMYFUNCTION("""COMPUTED_VALUE"""),"Light")</f>
        <v>Light</v>
      </c>
    </row>
    <row r="144">
      <c r="A144" s="16" t="str">
        <f>IFERROR(__xludf.DUMMYFUNCTION("""COMPUTED_VALUE"""),"Bright Light")</f>
        <v>Bright Light</v>
      </c>
      <c r="B144" s="16">
        <f>IFERROR(__xludf.DUMMYFUNCTION("""COMPUTED_VALUE"""),2.0)</f>
        <v>2</v>
      </c>
      <c r="C144" s="16" t="str">
        <f>IFERROR(__xludf.DUMMYFUNCTION("""COMPUTED_VALUE"""),"X")</f>
        <v>X</v>
      </c>
      <c r="D144" s="16"/>
      <c r="E144" s="16" t="str">
        <f>IFERROR(__xludf.DUMMYFUNCTION("""COMPUTED_VALUE"""),"X*25 Light damage to all enemies where X is equal to the users SP spent, sheds light for 3 rounds.")</f>
        <v>X*25 Light damage to all enemies where X is equal to the users SP spent, sheds light for 3 rounds.</v>
      </c>
      <c r="F144" s="16" t="str">
        <f>IFERROR(__xludf.DUMMYFUNCTION("""COMPUTED_VALUE"""),"Cannot Avoid")</f>
        <v>Cannot Avoid</v>
      </c>
      <c r="G144" s="16" t="str">
        <f>IFERROR(__xludf.DUMMYFUNCTION("""COMPUTED_VALUE"""),"All")</f>
        <v>All</v>
      </c>
      <c r="H144" s="16" t="str">
        <f>IFERROR(__xludf.DUMMYFUNCTION("""COMPUTED_VALUE"""),"Light")</f>
        <v>Light</v>
      </c>
    </row>
    <row r="145">
      <c r="A145" s="16" t="str">
        <f>IFERROR(__xludf.DUMMYFUNCTION("""COMPUTED_VALUE"""),"Continuous Light")</f>
        <v>Continuous Light</v>
      </c>
      <c r="B145" s="16">
        <f>IFERROR(__xludf.DUMMYFUNCTION("""COMPUTED_VALUE"""),3.0)</f>
        <v>3</v>
      </c>
      <c r="C145" s="16" t="str">
        <f>IFERROR(__xludf.DUMMYFUNCTION("""COMPUTED_VALUE"""),"X")</f>
        <v>X</v>
      </c>
      <c r="D145" s="16"/>
      <c r="E145" s="16" t="str">
        <f>IFERROR(__xludf.DUMMYFUNCTION("""COMPUTED_VALUE"""),"X*50 Light damage per round for 3 rounds to a single target where X is equal to SP spent.")</f>
        <v>X*50 Light damage per round for 3 rounds to a single target where X is equal to SP spent.</v>
      </c>
      <c r="F145" s="16" t="str">
        <f>IFERROR(__xludf.DUMMYFUNCTION("""COMPUTED_VALUE"""),"Hit/Miss")</f>
        <v>Hit/Miss</v>
      </c>
      <c r="G145" s="16"/>
      <c r="H145" s="16" t="str">
        <f>IFERROR(__xludf.DUMMYFUNCTION("""COMPUTED_VALUE"""),"Light")</f>
        <v>Light</v>
      </c>
    </row>
    <row r="146">
      <c r="A146" s="16" t="str">
        <f>IFERROR(__xludf.DUMMYFUNCTION("""COMPUTED_VALUE"""),"Disease Control")</f>
        <v>Disease Control</v>
      </c>
      <c r="B146" s="16">
        <f>IFERROR(__xludf.DUMMYFUNCTION("""COMPUTED_VALUE"""),9.0)</f>
        <v>9</v>
      </c>
      <c r="C146" s="16">
        <f>IFERROR(__xludf.DUMMYFUNCTION("""COMPUTED_VALUE"""),300.0)</f>
        <v>300</v>
      </c>
      <c r="D146" s="16"/>
      <c r="E14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46" s="16" t="str">
        <f>IFERROR(__xludf.DUMMYFUNCTION("""COMPUTED_VALUE"""),"Fail/succeed")</f>
        <v>Fail/succeed</v>
      </c>
      <c r="G146" s="16">
        <f>IFERROR(__xludf.DUMMYFUNCTION("""COMPUTED_VALUE"""),1.0)</f>
        <v>1</v>
      </c>
      <c r="H146" s="16" t="str">
        <f>IFERROR(__xludf.DUMMYFUNCTION("""COMPUTED_VALUE"""),"Light")</f>
        <v>Light</v>
      </c>
    </row>
    <row r="147">
      <c r="A147" s="16" t="str">
        <f>IFERROR(__xludf.DUMMYFUNCTION("""COMPUTED_VALUE"""),"Flare")</f>
        <v>Flare</v>
      </c>
      <c r="B147" s="16">
        <f>IFERROR(__xludf.DUMMYFUNCTION("""COMPUTED_VALUE"""),1.0)</f>
        <v>1</v>
      </c>
      <c r="C147" s="16" t="str">
        <f>IFERROR(__xludf.DUMMYFUNCTION("""COMPUTED_VALUE"""),"X")</f>
        <v>X</v>
      </c>
      <c r="D147" s="16"/>
      <c r="E147" s="16" t="str">
        <f>IFERROR(__xludf.DUMMYFUNCTION("""COMPUTED_VALUE"""),"X*100 Light damage to one target where X is equal to sp spent, sheds light for 3 rounds")</f>
        <v>X*100 Light damage to one target where X is equal to sp spent, sheds light for 3 rounds</v>
      </c>
      <c r="F147" s="16" t="str">
        <f>IFERROR(__xludf.DUMMYFUNCTION("""COMPUTED_VALUE"""),"Hit/Miss")</f>
        <v>Hit/Miss</v>
      </c>
      <c r="G147" s="16">
        <f>IFERROR(__xludf.DUMMYFUNCTION("""COMPUTED_VALUE"""),1.0)</f>
        <v>1</v>
      </c>
      <c r="H147" s="16" t="str">
        <f>IFERROR(__xludf.DUMMYFUNCTION("""COMPUTED_VALUE"""),"Light")</f>
        <v>Light</v>
      </c>
    </row>
    <row r="148">
      <c r="A148" s="16" t="str">
        <f>IFERROR(__xludf.DUMMYFUNCTION("""COMPUTED_VALUE"""),"Focused Light")</f>
        <v>Focused Light</v>
      </c>
      <c r="B148" s="16">
        <f>IFERROR(__xludf.DUMMYFUNCTION("""COMPUTED_VALUE"""),5.0)</f>
        <v>5</v>
      </c>
      <c r="C148" s="16" t="str">
        <f>IFERROR(__xludf.DUMMYFUNCTION("""COMPUTED_VALUE"""),"X")</f>
        <v>X</v>
      </c>
      <c r="D148" s="16"/>
      <c r="E148" s="16" t="str">
        <f>IFERROR(__xludf.DUMMYFUNCTION("""COMPUTED_VALUE"""),"X*50 Light damage and X*50 Fire damage to one target where X is equal to Sp spent. Sheds light for 3 rounds.")</f>
        <v>X*50 Light damage and X*50 Fire damage to one target where X is equal to Sp spent. Sheds light for 3 rounds.</v>
      </c>
      <c r="F148" s="16" t="str">
        <f>IFERROR(__xludf.DUMMYFUNCTION("""COMPUTED_VALUE"""),"Hit/Miss")</f>
        <v>Hit/Miss</v>
      </c>
      <c r="G148" s="16">
        <f>IFERROR(__xludf.DUMMYFUNCTION("""COMPUTED_VALUE"""),1.0)</f>
        <v>1</v>
      </c>
      <c r="H148" s="16" t="str">
        <f>IFERROR(__xludf.DUMMYFUNCTION("""COMPUTED_VALUE"""),"Light")</f>
        <v>Light</v>
      </c>
    </row>
    <row r="149">
      <c r="A149" s="16" t="str">
        <f>IFERROR(__xludf.DUMMYFUNCTION("""COMPUTED_VALUE"""),"Full Revive")</f>
        <v>Full Revive</v>
      </c>
      <c r="B149" s="16">
        <f>IFERROR(__xludf.DUMMYFUNCTION("""COMPUTED_VALUE"""),9.0)</f>
        <v>9</v>
      </c>
      <c r="C149" s="16">
        <f>IFERROR(__xludf.DUMMYFUNCTION("""COMPUTED_VALUE"""),300.0)</f>
        <v>300</v>
      </c>
      <c r="D149" s="16"/>
      <c r="E149" s="16" t="str">
        <f>IFERROR(__xludf.DUMMYFUNCTION("""COMPUTED_VALUE"""),"Return all allies from death with full HP, must be done before they respawn.")</f>
        <v>Return all allies from death with full HP, must be done before they respawn.</v>
      </c>
      <c r="F149" s="16" t="str">
        <f>IFERROR(__xludf.DUMMYFUNCTION("""COMPUTED_VALUE"""),"Fail/succeed")</f>
        <v>Fail/succeed</v>
      </c>
      <c r="G149" s="16"/>
      <c r="H149" s="16" t="str">
        <f>IFERROR(__xludf.DUMMYFUNCTION("""COMPUTED_VALUE"""),"Light")</f>
        <v>Light</v>
      </c>
    </row>
    <row r="150">
      <c r="A150" s="16" t="str">
        <f>IFERROR(__xludf.DUMMYFUNCTION("""COMPUTED_VALUE"""),"Heal")</f>
        <v>Heal</v>
      </c>
      <c r="B150" s="16">
        <f>IFERROR(__xludf.DUMMYFUNCTION("""COMPUTED_VALUE"""),1.0)</f>
        <v>1</v>
      </c>
      <c r="C150" s="16" t="str">
        <f>IFERROR(__xludf.DUMMYFUNCTION("""COMPUTED_VALUE"""),"X")</f>
        <v>X</v>
      </c>
      <c r="D150" s="16"/>
      <c r="E150" s="16" t="str">
        <f>IFERROR(__xludf.DUMMYFUNCTION("""COMPUTED_VALUE"""),"+x*100 HP healed to all allies where X is equal to SP spent.")</f>
        <v>+x*100 HP healed to all allies where X is equal to SP spent.</v>
      </c>
      <c r="F150" s="16" t="str">
        <f>IFERROR(__xludf.DUMMYFUNCTION("""COMPUTED_VALUE"""),"Will Succeed")</f>
        <v>Will Succeed</v>
      </c>
      <c r="G150" s="16">
        <f>IFERROR(__xludf.DUMMYFUNCTION("""COMPUTED_VALUE"""),1.0)</f>
        <v>1</v>
      </c>
      <c r="H150" s="16" t="str">
        <f>IFERROR(__xludf.DUMMYFUNCTION("""COMPUTED_VALUE"""),"Light")</f>
        <v>Light</v>
      </c>
    </row>
    <row r="151">
      <c r="A151" s="16" t="str">
        <f>IFERROR(__xludf.DUMMYFUNCTION("""COMPUTED_VALUE"""),"Healing Alliance")</f>
        <v>Healing Alliance</v>
      </c>
      <c r="B151" s="16">
        <f>IFERROR(__xludf.DUMMYFUNCTION("""COMPUTED_VALUE"""),5.0)</f>
        <v>5</v>
      </c>
      <c r="C151" s="16" t="str">
        <f>IFERROR(__xludf.DUMMYFUNCTION("""COMPUTED_VALUE"""),"X")</f>
        <v>X</v>
      </c>
      <c r="D151" s="16"/>
      <c r="E151" s="16" t="str">
        <f>IFERROR(__xludf.DUMMYFUNCTION("""COMPUTED_VALUE"""),"+X*25 HP healed to all allies where X is equal to SP spent.")</f>
        <v>+X*25 HP healed to all allies where X is equal to SP spent.</v>
      </c>
      <c r="F151" s="16" t="str">
        <f>IFERROR(__xludf.DUMMYFUNCTION("""COMPUTED_VALUE"""),"Will Succeed")</f>
        <v>Will Succeed</v>
      </c>
      <c r="G151" s="16"/>
      <c r="H151" s="16" t="str">
        <f>IFERROR(__xludf.DUMMYFUNCTION("""COMPUTED_VALUE"""),"Light")</f>
        <v>Light</v>
      </c>
    </row>
    <row r="152">
      <c r="A152" s="16" t="str">
        <f>IFERROR(__xludf.DUMMYFUNCTION("""COMPUTED_VALUE"""),"Hygiene")</f>
        <v>Hygiene</v>
      </c>
      <c r="B152" s="16">
        <f>IFERROR(__xludf.DUMMYFUNCTION("""COMPUTED_VALUE"""),7.0)</f>
        <v>7</v>
      </c>
      <c r="C152" s="16">
        <f>IFERROR(__xludf.DUMMYFUNCTION("""COMPUTED_VALUE"""),100.0)</f>
        <v>100</v>
      </c>
      <c r="D152" s="16"/>
      <c r="E152" s="16" t="str">
        <f>IFERROR(__xludf.DUMMYFUNCTION("""COMPUTED_VALUE"""),"Caster becomes immune to all status effects.")</f>
        <v>Caster becomes immune to all status effects.</v>
      </c>
      <c r="F152" s="16" t="str">
        <f>IFERROR(__xludf.DUMMYFUNCTION("""COMPUTED_VALUE"""),"Will Succeed")</f>
        <v>Will Succeed</v>
      </c>
      <c r="G152" s="16"/>
      <c r="H152" s="16" t="str">
        <f>IFERROR(__xludf.DUMMYFUNCTION("""COMPUTED_VALUE"""),"Light")</f>
        <v>Light</v>
      </c>
    </row>
    <row r="153">
      <c r="A153" s="16" t="str">
        <f>IFERROR(__xludf.DUMMYFUNCTION("""COMPUTED_VALUE"""),"Instant Regeneration")</f>
        <v>Instant Regeneration</v>
      </c>
      <c r="B153" s="16">
        <f>IFERROR(__xludf.DUMMYFUNCTION("""COMPUTED_VALUE"""),8.0)</f>
        <v>8</v>
      </c>
      <c r="C153" s="16">
        <f>IFERROR(__xludf.DUMMYFUNCTION("""COMPUTED_VALUE"""),200.0)</f>
        <v>200</v>
      </c>
      <c r="D153" s="16"/>
      <c r="E15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53" s="16" t="str">
        <f>IFERROR(__xludf.DUMMYFUNCTION("""COMPUTED_VALUE"""),"Fail/succeed")</f>
        <v>Fail/succeed</v>
      </c>
      <c r="G153" s="16"/>
      <c r="H153" s="16" t="str">
        <f>IFERROR(__xludf.DUMMYFUNCTION("""COMPUTED_VALUE"""),"Light")</f>
        <v>Light</v>
      </c>
    </row>
    <row r="154">
      <c r="A154" s="16" t="str">
        <f>IFERROR(__xludf.DUMMYFUNCTION("""COMPUTED_VALUE"""),"Light Ray")</f>
        <v>Light Ray</v>
      </c>
      <c r="B154" s="16">
        <f>IFERROR(__xludf.DUMMYFUNCTION("""COMPUTED_VALUE"""),2.0)</f>
        <v>2</v>
      </c>
      <c r="C154" s="16">
        <f>IFERROR(__xludf.DUMMYFUNCTION("""COMPUTED_VALUE"""),20.0)</f>
        <v>20</v>
      </c>
      <c r="D154" s="16"/>
      <c r="E154" s="16" t="str">
        <f>IFERROR(__xludf.DUMMYFUNCTION("""COMPUTED_VALUE"""),"Blindness 3 to a single target and sheds light for 3 rounds.")</f>
        <v>Blindness 3 to a single target and sheds light for 3 rounds.</v>
      </c>
      <c r="F154" s="16" t="str">
        <f>IFERROR(__xludf.DUMMYFUNCTION("""COMPUTED_VALUE"""),"Hit/Miss")</f>
        <v>Hit/Miss</v>
      </c>
      <c r="G154" s="16">
        <f>IFERROR(__xludf.DUMMYFUNCTION("""COMPUTED_VALUE"""),1.0)</f>
        <v>1</v>
      </c>
      <c r="H154" s="16" t="str">
        <f>IFERROR(__xludf.DUMMYFUNCTION("""COMPUTED_VALUE"""),"Light")</f>
        <v>Light</v>
      </c>
    </row>
    <row r="155">
      <c r="A155" s="16" t="str">
        <f>IFERROR(__xludf.DUMMYFUNCTION("""COMPUTED_VALUE"""),"Obliterating Light of Blindness")</f>
        <v>Obliterating Light of Blindness</v>
      </c>
      <c r="B155" s="16">
        <f>IFERROR(__xludf.DUMMYFUNCTION("""COMPUTED_VALUE"""),9.0)</f>
        <v>9</v>
      </c>
      <c r="C155" s="16" t="str">
        <f>IFERROR(__xludf.DUMMYFUNCTION("""COMPUTED_VALUE"""),"300")</f>
        <v>300</v>
      </c>
      <c r="D155" s="16"/>
      <c r="E155" s="16" t="str">
        <f>IFERROR(__xludf.DUMMYFUNCTION("""COMPUTED_VALUE"""),"20,000 Light damage to all enemies, 25% chance of Blidness 3. and sheds light for 3 rounds.")</f>
        <v>20,000 Light damage to all enemies, 25% chance of Blidness 3. and sheds light for 3 rounds.</v>
      </c>
      <c r="F155" s="16" t="str">
        <f>IFERROR(__xludf.DUMMYFUNCTION("""COMPUTED_VALUE"""),"Cannot Avoid")</f>
        <v>Cannot Avoid</v>
      </c>
      <c r="G155" s="16" t="str">
        <f>IFERROR(__xludf.DUMMYFUNCTION("""COMPUTED_VALUE"""),"All")</f>
        <v>All</v>
      </c>
      <c r="H155" s="16" t="str">
        <f>IFERROR(__xludf.DUMMYFUNCTION("""COMPUTED_VALUE"""),"Light")</f>
        <v>Light</v>
      </c>
    </row>
    <row r="156">
      <c r="A156" s="16" t="str">
        <f>IFERROR(__xludf.DUMMYFUNCTION("""COMPUTED_VALUE"""),"Regeneration")</f>
        <v>Regeneration</v>
      </c>
      <c r="B156" s="16">
        <f>IFERROR(__xludf.DUMMYFUNCTION("""COMPUTED_VALUE"""),6.0)</f>
        <v>6</v>
      </c>
      <c r="C156" s="16" t="str">
        <f>IFERROR(__xludf.DUMMYFUNCTION("""COMPUTED_VALUE"""),"X")</f>
        <v>X</v>
      </c>
      <c r="D156" s="16"/>
      <c r="E156" s="16" t="str">
        <f>IFERROR(__xludf.DUMMYFUNCTION("""COMPUTED_VALUE"""),"+X*50 HP healed per round for 3 rounds to a single ally.")</f>
        <v>+X*50 HP healed per round for 3 rounds to a single ally.</v>
      </c>
      <c r="F156" s="16" t="str">
        <f>IFERROR(__xludf.DUMMYFUNCTION("""COMPUTED_VALUE"""),"Fail/Succeed")</f>
        <v>Fail/Succeed</v>
      </c>
      <c r="G156" s="16"/>
      <c r="H156" s="16" t="str">
        <f>IFERROR(__xludf.DUMMYFUNCTION("""COMPUTED_VALUE"""),"Light")</f>
        <v>Light</v>
      </c>
    </row>
    <row r="157">
      <c r="A157" s="16" t="str">
        <f>IFERROR(__xludf.DUMMYFUNCTION("""COMPUTED_VALUE"""),"Revive")</f>
        <v>Revive</v>
      </c>
      <c r="B157" s="16">
        <f>IFERROR(__xludf.DUMMYFUNCTION("""COMPUTED_VALUE"""),6.0)</f>
        <v>6</v>
      </c>
      <c r="C157" s="16">
        <f>IFERROR(__xludf.DUMMYFUNCTION("""COMPUTED_VALUE"""),60.0)</f>
        <v>60</v>
      </c>
      <c r="D157" s="16"/>
      <c r="E157" s="16" t="str">
        <f>IFERROR(__xludf.DUMMYFUNCTION("""COMPUTED_VALUE"""),"Return a target from death with half their max HP, must be done before they respawn")</f>
        <v>Return a target from death with half their max HP, must be done before they respawn</v>
      </c>
      <c r="F157" s="16" t="str">
        <f>IFERROR(__xludf.DUMMYFUNCTION("""COMPUTED_VALUE"""),"Fail/Succeed")</f>
        <v>Fail/Succeed</v>
      </c>
      <c r="G157" s="16">
        <f>IFERROR(__xludf.DUMMYFUNCTION("""COMPUTED_VALUE"""),1.0)</f>
        <v>1</v>
      </c>
      <c r="H157" s="16" t="str">
        <f>IFERROR(__xludf.DUMMYFUNCTION("""COMPUTED_VALUE"""),"Light")</f>
        <v>Light</v>
      </c>
    </row>
    <row r="158">
      <c r="A158" s="16" t="str">
        <f>IFERROR(__xludf.DUMMYFUNCTION("""COMPUTED_VALUE"""),"Teleport")</f>
        <v>Teleport</v>
      </c>
      <c r="B158" s="16">
        <f>IFERROR(__xludf.DUMMYFUNCTION("""COMPUTED_VALUE"""),9.0)</f>
        <v>9</v>
      </c>
      <c r="C158" s="16">
        <f>IFERROR(__xludf.DUMMYFUNCTION("""COMPUTED_VALUE"""),300.0)</f>
        <v>300</v>
      </c>
      <c r="D158" s="16"/>
      <c r="E15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58" s="16" t="str">
        <f>IFERROR(__xludf.DUMMYFUNCTION("""COMPUTED_VALUE"""),"Fail/succeed")</f>
        <v>Fail/succeed</v>
      </c>
      <c r="G158" s="16"/>
      <c r="H158" s="16" t="str">
        <f>IFERROR(__xludf.DUMMYFUNCTION("""COMPUTED_VALUE"""),"Light")</f>
        <v>Light</v>
      </c>
    </row>
    <row r="159">
      <c r="A159" s="16" t="str">
        <f>IFERROR(__xludf.DUMMYFUNCTION("""COMPUTED_VALUE"""),"[Element] Swing")</f>
        <v>[Element] Swing</v>
      </c>
      <c r="B159" s="16">
        <f>IFERROR(__xludf.DUMMYFUNCTION("""COMPUTED_VALUE"""),4.0)</f>
        <v>4</v>
      </c>
      <c r="C159" s="16">
        <f>IFERROR(__xludf.DUMMYFUNCTION("""COMPUTED_VALUE"""),40.0)</f>
        <v>40</v>
      </c>
      <c r="D159" s="16"/>
      <c r="E15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59" s="16" t="str">
        <f>IFERROR(__xludf.DUMMYFUNCTION("""COMPUTED_VALUE"""),"Fail/Succeed")</f>
        <v>Fail/Succeed</v>
      </c>
      <c r="G159" s="16"/>
      <c r="H159" s="16" t="str">
        <f>IFERROR(__xludf.DUMMYFUNCTION("""COMPUTED_VALUE"""),"Melee")</f>
        <v>Melee</v>
      </c>
    </row>
    <row r="160">
      <c r="A160" s="16" t="str">
        <f>IFERROR(__xludf.DUMMYFUNCTION("""COMPUTED_VALUE"""),"Berserk")</f>
        <v>Berserk</v>
      </c>
      <c r="B160" s="16">
        <f>IFERROR(__xludf.DUMMYFUNCTION("""COMPUTED_VALUE"""),8.0)</f>
        <v>8</v>
      </c>
      <c r="C160" s="16">
        <f>IFERROR(__xludf.DUMMYFUNCTION("""COMPUTED_VALUE"""),200.0)</f>
        <v>200</v>
      </c>
      <c r="D160" s="16"/>
      <c r="E160" s="16" t="str">
        <f>IFERROR(__xludf.DUMMYFUNCTION("""COMPUTED_VALUE"""),"Double your attack roll and damage dealt during your next attack.")</f>
        <v>Double your attack roll and damage dealt during your next attack.</v>
      </c>
      <c r="F160" s="16" t="str">
        <f>IFERROR(__xludf.DUMMYFUNCTION("""COMPUTED_VALUE"""),"Will Succeed")</f>
        <v>Will Succeed</v>
      </c>
      <c r="G160" s="16"/>
      <c r="H160" s="16" t="str">
        <f>IFERROR(__xludf.DUMMYFUNCTION("""COMPUTED_VALUE"""),"Melee")</f>
        <v>Melee</v>
      </c>
    </row>
    <row r="161">
      <c r="A161" s="16" t="str">
        <f>IFERROR(__xludf.DUMMYFUNCTION("""COMPUTED_VALUE"""),"Blade Barrier")</f>
        <v>Blade Barrier</v>
      </c>
      <c r="B161" s="16">
        <f>IFERROR(__xludf.DUMMYFUNCTION("""COMPUTED_VALUE"""),6.0)</f>
        <v>6</v>
      </c>
      <c r="C161" s="16">
        <f>IFERROR(__xludf.DUMMYFUNCTION("""COMPUTED_VALUE"""),60.0)</f>
        <v>60</v>
      </c>
      <c r="D161" s="16"/>
      <c r="E16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61" s="16" t="str">
        <f>IFERROR(__xludf.DUMMYFUNCTION("""COMPUTED_VALUE"""),"Fail/Succeed")</f>
        <v>Fail/Succeed</v>
      </c>
      <c r="G161" s="16"/>
      <c r="H161" s="16" t="str">
        <f>IFERROR(__xludf.DUMMYFUNCTION("""COMPUTED_VALUE"""),"Melee")</f>
        <v>Melee</v>
      </c>
    </row>
    <row r="162">
      <c r="A162" s="16" t="str">
        <f>IFERROR(__xludf.DUMMYFUNCTION("""COMPUTED_VALUE"""),"Double Strike")</f>
        <v>Double Strike</v>
      </c>
      <c r="B162" s="16">
        <f>IFERROR(__xludf.DUMMYFUNCTION("""COMPUTED_VALUE"""),9.0)</f>
        <v>9</v>
      </c>
      <c r="C162" s="16">
        <f>IFERROR(__xludf.DUMMYFUNCTION("""COMPUTED_VALUE"""),300.0)</f>
        <v>300</v>
      </c>
      <c r="D162" s="16"/>
      <c r="E162" s="16" t="str">
        <f>IFERROR(__xludf.DUMMYFUNCTION("""COMPUTED_VALUE"""),"Allows you to attack an additional time during your next attack with a weapon or natural attack.")</f>
        <v>Allows you to attack an additional time during your next attack with a weapon or natural attack.</v>
      </c>
      <c r="F162" s="16" t="str">
        <f>IFERROR(__xludf.DUMMYFUNCTION("""COMPUTED_VALUE"""),"Will Succeed")</f>
        <v>Will Succeed</v>
      </c>
      <c r="G162" s="16" t="str">
        <f>IFERROR(__xludf.DUMMYFUNCTION("""COMPUTED_VALUE"""),"Self")</f>
        <v>Self</v>
      </c>
      <c r="H162" s="16" t="str">
        <f>IFERROR(__xludf.DUMMYFUNCTION("""COMPUTED_VALUE"""),"Melee")</f>
        <v>Melee</v>
      </c>
    </row>
    <row r="163">
      <c r="A163" s="16" t="str">
        <f>IFERROR(__xludf.DUMMYFUNCTION("""COMPUTED_VALUE"""),"Energy Charge")</f>
        <v>Energy Charge</v>
      </c>
      <c r="B163" s="16">
        <f>IFERROR(__xludf.DUMMYFUNCTION("""COMPUTED_VALUE"""),7.0)</f>
        <v>7</v>
      </c>
      <c r="C163" s="16" t="str">
        <f>IFERROR(__xludf.DUMMYFUNCTION("""COMPUTED_VALUE"""),"X")</f>
        <v>X</v>
      </c>
      <c r="D163" s="16"/>
      <c r="E163" s="16" t="str">
        <f>IFERROR(__xludf.DUMMYFUNCTION("""COMPUTED_VALUE"""),"Raises attack and accuracy by X*2 SP")</f>
        <v>Raises attack and accuracy by X*2 SP</v>
      </c>
      <c r="F163" s="16" t="str">
        <f>IFERROR(__xludf.DUMMYFUNCTION("""COMPUTED_VALUE"""),"Will Succeed")</f>
        <v>Will Succeed</v>
      </c>
      <c r="G163" s="16"/>
      <c r="H163" s="16" t="str">
        <f>IFERROR(__xludf.DUMMYFUNCTION("""COMPUTED_VALUE"""),"Melee")</f>
        <v>Melee</v>
      </c>
    </row>
    <row r="164">
      <c r="A164" s="16" t="str">
        <f>IFERROR(__xludf.DUMMYFUNCTION("""COMPUTED_VALUE"""),"Go For The Vitals")</f>
        <v>Go For The Vitals</v>
      </c>
      <c r="B164" s="16">
        <f>IFERROR(__xludf.DUMMYFUNCTION("""COMPUTED_VALUE"""),2.0)</f>
        <v>2</v>
      </c>
      <c r="C164" s="16">
        <f>IFERROR(__xludf.DUMMYFUNCTION("""COMPUTED_VALUE"""),20.0)</f>
        <v>20</v>
      </c>
      <c r="D164" s="16"/>
      <c r="E164" s="16" t="str">
        <f>IFERROR(__xludf.DUMMYFUNCTION("""COMPUTED_VALUE"""),"Treat your next attack roll as double.")</f>
        <v>Treat your next attack roll as double.</v>
      </c>
      <c r="F164" s="16" t="str">
        <f>IFERROR(__xludf.DUMMYFUNCTION("""COMPUTED_VALUE"""),"Fail/Succeed")</f>
        <v>Fail/Succeed</v>
      </c>
      <c r="G164" s="16"/>
      <c r="H164" s="16" t="str">
        <f>IFERROR(__xludf.DUMMYFUNCTION("""COMPUTED_VALUE"""),"Melee")</f>
        <v>Melee</v>
      </c>
    </row>
    <row r="165">
      <c r="A165" s="16" t="str">
        <f>IFERROR(__xludf.DUMMYFUNCTION("""COMPUTED_VALUE"""),"Hard swing")</f>
        <v>Hard swing</v>
      </c>
      <c r="B165" s="16">
        <f>IFERROR(__xludf.DUMMYFUNCTION("""COMPUTED_VALUE"""),1.0)</f>
        <v>1</v>
      </c>
      <c r="C165" s="16">
        <f>IFERROR(__xludf.DUMMYFUNCTION("""COMPUTED_VALUE"""),10.0)</f>
        <v>10</v>
      </c>
      <c r="D165" s="16"/>
      <c r="E165" s="16" t="str">
        <f>IFERROR(__xludf.DUMMYFUNCTION("""COMPUTED_VALUE"""),"During your next attack while attacking with a weapon; Roll for the attack twice and take the higher number.")</f>
        <v>During your next attack while attacking with a weapon; Roll for the attack twice and take the higher number.</v>
      </c>
      <c r="F165" s="16" t="str">
        <f>IFERROR(__xludf.DUMMYFUNCTION("""COMPUTED_VALUE"""),"Fail/Succeed")</f>
        <v>Fail/Succeed</v>
      </c>
      <c r="G165" s="16"/>
      <c r="H165" s="16" t="str">
        <f>IFERROR(__xludf.DUMMYFUNCTION("""COMPUTED_VALUE"""),"Melee")</f>
        <v>Melee</v>
      </c>
    </row>
    <row r="166">
      <c r="A166" s="16" t="str">
        <f>IFERROR(__xludf.DUMMYFUNCTION("""COMPUTED_VALUE"""),"Marauder's Rage")</f>
        <v>Marauder's Rage</v>
      </c>
      <c r="B166" s="16">
        <f>IFERROR(__xludf.DUMMYFUNCTION("""COMPUTED_VALUE"""),5.0)</f>
        <v>5</v>
      </c>
      <c r="C166" s="16" t="str">
        <f>IFERROR(__xludf.DUMMYFUNCTION("""COMPUTED_VALUE"""),"X")</f>
        <v>X</v>
      </c>
      <c r="D166" s="16"/>
      <c r="E166" s="16" t="str">
        <f>IFERROR(__xludf.DUMMYFUNCTION("""COMPUTED_VALUE"""),"Roll a D20 for additional attack, times it by the amount of mana you pay.")</f>
        <v>Roll a D20 for additional attack, times it by the amount of mana you pay.</v>
      </c>
      <c r="F166" s="16" t="str">
        <f>IFERROR(__xludf.DUMMYFUNCTION("""COMPUTED_VALUE"""),"Will Succeed")</f>
        <v>Will Succeed</v>
      </c>
      <c r="G166" s="16" t="str">
        <f>IFERROR(__xludf.DUMMYFUNCTION("""COMPUTED_VALUE"""),"Self")</f>
        <v>Self</v>
      </c>
      <c r="H166" s="16" t="str">
        <f>IFERROR(__xludf.DUMMYFUNCTION("""COMPUTED_VALUE"""),"Melee")</f>
        <v>Melee</v>
      </c>
    </row>
    <row r="167">
      <c r="A167" s="16" t="str">
        <f>IFERROR(__xludf.DUMMYFUNCTION("""COMPUTED_VALUE"""),"Melee Barrier")</f>
        <v>Melee Barrier</v>
      </c>
      <c r="B167" s="16">
        <f>IFERROR(__xludf.DUMMYFUNCTION("""COMPUTED_VALUE"""),3.0)</f>
        <v>3</v>
      </c>
      <c r="C167" s="16">
        <f>IFERROR(__xludf.DUMMYFUNCTION("""COMPUTED_VALUE"""),30.0)</f>
        <v>30</v>
      </c>
      <c r="D167" s="16"/>
      <c r="E167" s="16" t="str">
        <f>IFERROR(__xludf.DUMMYFUNCTION("""COMPUTED_VALUE"""),"Take half damage from the next attack.")</f>
        <v>Take half damage from the next attack.</v>
      </c>
      <c r="F167" s="16" t="str">
        <f>IFERROR(__xludf.DUMMYFUNCTION("""COMPUTED_VALUE"""),"Fail/Succeed")</f>
        <v>Fail/Succeed</v>
      </c>
      <c r="G167" s="16"/>
      <c r="H167" s="16" t="str">
        <f>IFERROR(__xludf.DUMMYFUNCTION("""COMPUTED_VALUE"""),"Melee")</f>
        <v>Melee</v>
      </c>
    </row>
    <row r="168">
      <c r="A168" s="16" t="str">
        <f>IFERROR(__xludf.DUMMYFUNCTION("""COMPUTED_VALUE"""),"Melee Boost")</f>
        <v>Melee Boost</v>
      </c>
      <c r="B168" s="16">
        <f>IFERROR(__xludf.DUMMYFUNCTION("""COMPUTED_VALUE"""),8.0)</f>
        <v>8</v>
      </c>
      <c r="C168" s="16">
        <f>IFERROR(__xludf.DUMMYFUNCTION("""COMPUTED_VALUE"""),200.0)</f>
        <v>200</v>
      </c>
      <c r="D168" s="16"/>
      <c r="E168" s="16" t="str">
        <f>IFERROR(__xludf.DUMMYFUNCTION("""COMPUTED_VALUE"""),"X2 attack for caster only.")</f>
        <v>X2 attack for caster only.</v>
      </c>
      <c r="F168" s="16" t="str">
        <f>IFERROR(__xludf.DUMMYFUNCTION("""COMPUTED_VALUE"""),"Will Succeed")</f>
        <v>Will Succeed</v>
      </c>
      <c r="G168" s="16"/>
      <c r="H168" s="16" t="str">
        <f>IFERROR(__xludf.DUMMYFUNCTION("""COMPUTED_VALUE"""),"Melee")</f>
        <v>Melee</v>
      </c>
    </row>
    <row r="169">
      <c r="A169" s="16" t="str">
        <f>IFERROR(__xludf.DUMMYFUNCTION("""COMPUTED_VALUE"""),"Melee Shield")</f>
        <v>Melee Shield</v>
      </c>
      <c r="B169" s="16">
        <f>IFERROR(__xludf.DUMMYFUNCTION("""COMPUTED_VALUE"""),5.0)</f>
        <v>5</v>
      </c>
      <c r="C169" s="16">
        <f>IFERROR(__xludf.DUMMYFUNCTION("""COMPUTED_VALUE"""),50.0)</f>
        <v>50</v>
      </c>
      <c r="D169" s="16"/>
      <c r="E169" s="16" t="str">
        <f>IFERROR(__xludf.DUMMYFUNCTION("""COMPUTED_VALUE"""),"You take no damage from the next weapon attack targeting you.")</f>
        <v>You take no damage from the next weapon attack targeting you.</v>
      </c>
      <c r="F169" s="16" t="str">
        <f>IFERROR(__xludf.DUMMYFUNCTION("""COMPUTED_VALUE"""),"Fail/Succeed")</f>
        <v>Fail/Succeed</v>
      </c>
      <c r="G169" s="16"/>
      <c r="H169" s="16" t="str">
        <f>IFERROR(__xludf.DUMMYFUNCTION("""COMPUTED_VALUE"""),"Melee")</f>
        <v>Melee</v>
      </c>
    </row>
    <row r="170">
      <c r="A170" s="16" t="str">
        <f>IFERROR(__xludf.DUMMYFUNCTION("""COMPUTED_VALUE"""),"Tower Of Balance II")</f>
        <v>Tower Of Balance II</v>
      </c>
      <c r="B170" s="16">
        <f>IFERROR(__xludf.DUMMYFUNCTION("""COMPUTED_VALUE"""),8.0)</f>
        <v>8</v>
      </c>
      <c r="C170" s="16">
        <f>IFERROR(__xludf.DUMMYFUNCTION("""COMPUTED_VALUE"""),200.0)</f>
        <v>200</v>
      </c>
      <c r="D170" s="16"/>
      <c r="E17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70" s="16" t="str">
        <f>IFERROR(__xludf.DUMMYFUNCTION("""COMPUTED_VALUE"""),"Will Succeed")</f>
        <v>Will Succeed</v>
      </c>
      <c r="G170" s="16"/>
      <c r="H170" s="16" t="str">
        <f>IFERROR(__xludf.DUMMYFUNCTION("""COMPUTED_VALUE"""),"Melee")</f>
        <v>Melee</v>
      </c>
    </row>
    <row r="171">
      <c r="A171" s="16" t="str">
        <f>IFERROR(__xludf.DUMMYFUNCTION("""COMPUTED_VALUE"""),"Ancient Forest Colossus form")</f>
        <v>Ancient Forest Colossus form</v>
      </c>
      <c r="B171" s="16">
        <f>IFERROR(__xludf.DUMMYFUNCTION("""COMPUTED_VALUE"""),9.0)</f>
        <v>9</v>
      </c>
      <c r="C171" s="16">
        <f>IFERROR(__xludf.DUMMYFUNCTION("""COMPUTED_VALUE"""),300.0)</f>
        <v>300</v>
      </c>
      <c r="D171" s="16"/>
      <c r="E17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71" s="16" t="str">
        <f>IFERROR(__xludf.DUMMYFUNCTION("""COMPUTED_VALUE"""),"Fail/succeed")</f>
        <v>Fail/succeed</v>
      </c>
      <c r="G171" s="16"/>
      <c r="H171" s="16" t="str">
        <f>IFERROR(__xludf.DUMMYFUNCTION("""COMPUTED_VALUE"""),"Nature")</f>
        <v>Nature</v>
      </c>
    </row>
    <row r="172">
      <c r="A172" s="16" t="str">
        <f>IFERROR(__xludf.DUMMYFUNCTION("""COMPUTED_VALUE"""),"Barkskin")</f>
        <v>Barkskin</v>
      </c>
      <c r="B172" s="16">
        <f>IFERROR(__xludf.DUMMYFUNCTION("""COMPUTED_VALUE"""),3.0)</f>
        <v>3</v>
      </c>
      <c r="C172" s="16">
        <f>IFERROR(__xludf.DUMMYFUNCTION("""COMPUTED_VALUE"""),30.0)</f>
        <v>30</v>
      </c>
      <c r="D172" s="16"/>
      <c r="E172" s="16" t="str">
        <f>IFERROR(__xludf.DUMMYFUNCTION("""COMPUTED_VALUE"""),"X2 defense for target.")</f>
        <v>X2 defense for target.</v>
      </c>
      <c r="F172" s="16" t="str">
        <f>IFERROR(__xludf.DUMMYFUNCTION("""COMPUTED_VALUE"""),"Fail/Succeed")</f>
        <v>Fail/Succeed</v>
      </c>
      <c r="G172" s="16">
        <f>IFERROR(__xludf.DUMMYFUNCTION("""COMPUTED_VALUE"""),1.0)</f>
        <v>1</v>
      </c>
      <c r="H172" s="16" t="str">
        <f>IFERROR(__xludf.DUMMYFUNCTION("""COMPUTED_VALUE"""),"Nature")</f>
        <v>Nature</v>
      </c>
    </row>
    <row r="173">
      <c r="A173" s="16" t="str">
        <f>IFERROR(__xludf.DUMMYFUNCTION("""COMPUTED_VALUE"""),"Beast Form")</f>
        <v>Beast Form</v>
      </c>
      <c r="B173" s="16">
        <f>IFERROR(__xludf.DUMMYFUNCTION("""COMPUTED_VALUE"""),5.0)</f>
        <v>5</v>
      </c>
      <c r="C173" s="16">
        <f>IFERROR(__xludf.DUMMYFUNCTION("""COMPUTED_VALUE"""),50.0)</f>
        <v>50</v>
      </c>
      <c r="D173" s="16"/>
      <c r="E173" s="16" t="str">
        <f>IFERROR(__xludf.DUMMYFUNCTION("""COMPUTED_VALUE"""),"You become a beast that is equal or lower level than you.")</f>
        <v>You become a beast that is equal or lower level than you.</v>
      </c>
      <c r="F173" s="16" t="str">
        <f>IFERROR(__xludf.DUMMYFUNCTION("""COMPUTED_VALUE"""),"Fail/succeed")</f>
        <v>Fail/succeed</v>
      </c>
      <c r="G173" s="16"/>
      <c r="H173" s="16" t="str">
        <f>IFERROR(__xludf.DUMMYFUNCTION("""COMPUTED_VALUE"""),"Nature")</f>
        <v>Nature</v>
      </c>
    </row>
    <row r="174">
      <c r="A174" s="16" t="str">
        <f>IFERROR(__xludf.DUMMYFUNCTION("""COMPUTED_VALUE"""),"Creature Control")</f>
        <v>Creature Control</v>
      </c>
      <c r="B174" s="16">
        <f>IFERROR(__xludf.DUMMYFUNCTION("""COMPUTED_VALUE"""),3.0)</f>
        <v>3</v>
      </c>
      <c r="C174" s="16">
        <f>IFERROR(__xludf.DUMMYFUNCTION("""COMPUTED_VALUE"""),30.0)</f>
        <v>30</v>
      </c>
      <c r="D174" s="16"/>
      <c r="E17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74" s="16" t="str">
        <f>IFERROR(__xludf.DUMMYFUNCTION("""COMPUTED_VALUE"""),"Fail/succeed")</f>
        <v>Fail/succeed</v>
      </c>
      <c r="G174" s="16"/>
      <c r="H174" s="16" t="str">
        <f>IFERROR(__xludf.DUMMYFUNCTION("""COMPUTED_VALUE"""),"Nature")</f>
        <v>Nature</v>
      </c>
    </row>
    <row r="175">
      <c r="A175" s="16" t="str">
        <f>IFERROR(__xludf.DUMMYFUNCTION("""COMPUTED_VALUE"""),"Grounds")</f>
        <v>Grounds</v>
      </c>
      <c r="B175" s="16">
        <f>IFERROR(__xludf.DUMMYFUNCTION("""COMPUTED_VALUE"""),9.0)</f>
        <v>9</v>
      </c>
      <c r="C175" s="16" t="str">
        <f>IFERROR(__xludf.DUMMYFUNCTION("""COMPUTED_VALUE"""),"X")</f>
        <v>X</v>
      </c>
      <c r="D175" s="16"/>
      <c r="E17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75" s="16" t="str">
        <f>IFERROR(__xludf.DUMMYFUNCTION("""COMPUTED_VALUE"""),"Will Succeed")</f>
        <v>Will Succeed</v>
      </c>
      <c r="G175" s="16"/>
      <c r="H175" s="16" t="str">
        <f>IFERROR(__xludf.DUMMYFUNCTION("""COMPUTED_VALUE"""),"Nature")</f>
        <v>Nature</v>
      </c>
    </row>
    <row r="176">
      <c r="A176" s="16" t="str">
        <f>IFERROR(__xludf.DUMMYFUNCTION("""COMPUTED_VALUE"""),"Nature Ward")</f>
        <v>Nature Ward</v>
      </c>
      <c r="B176" s="16">
        <f>IFERROR(__xludf.DUMMYFUNCTION("""COMPUTED_VALUE"""),9.0)</f>
        <v>9</v>
      </c>
      <c r="C176" s="16">
        <f>IFERROR(__xludf.DUMMYFUNCTION("""COMPUTED_VALUE"""),300.0)</f>
        <v>300</v>
      </c>
      <c r="D176" s="16"/>
      <c r="E17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76" s="16" t="str">
        <f>IFERROR(__xludf.DUMMYFUNCTION("""COMPUTED_VALUE"""),"Fail/Succeed")</f>
        <v>Fail/Succeed</v>
      </c>
      <c r="G176" s="16">
        <f>IFERROR(__xludf.DUMMYFUNCTION("""COMPUTED_VALUE"""),1.0)</f>
        <v>1</v>
      </c>
      <c r="H176" s="16" t="str">
        <f>IFERROR(__xludf.DUMMYFUNCTION("""COMPUTED_VALUE"""),"Nature")</f>
        <v>Nature</v>
      </c>
    </row>
    <row r="177">
      <c r="A177" s="16" t="str">
        <f>IFERROR(__xludf.DUMMYFUNCTION("""COMPUTED_VALUE"""),"Nature's Embrace")</f>
        <v>Nature's Embrace</v>
      </c>
      <c r="B177" s="16">
        <f>IFERROR(__xludf.DUMMYFUNCTION("""COMPUTED_VALUE"""),7.0)</f>
        <v>7</v>
      </c>
      <c r="C177" s="16">
        <f>IFERROR(__xludf.DUMMYFUNCTION("""COMPUTED_VALUE"""),200.0)</f>
        <v>200</v>
      </c>
      <c r="D177" s="16"/>
      <c r="E177" s="16" t="str">
        <f>IFERROR(__xludf.DUMMYFUNCTION("""COMPUTED_VALUE"""),"Has a 40% chance to inflict Pacified 3 on a single target. (once per battle)")</f>
        <v>Has a 40% chance to inflict Pacified 3 on a single target. (once per battle)</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IFERROR(__xludf.DUMMYFUNCTION("""COMPUTED_VALUE"""),"Nature's Light")</f>
        <v>Nature's Light</v>
      </c>
      <c r="B178" s="16">
        <f>IFERROR(__xludf.DUMMYFUNCTION("""COMPUTED_VALUE"""),9.0)</f>
        <v>9</v>
      </c>
      <c r="C178" s="16" t="str">
        <f>IFERROR(__xludf.DUMMYFUNCTION("""COMPUTED_VALUE"""),"X")</f>
        <v>X</v>
      </c>
      <c r="D178" s="16"/>
      <c r="E178" s="16" t="str">
        <f>IFERROR(__xludf.DUMMYFUNCTION("""COMPUTED_VALUE"""),"A gentle glow emanates from the caster healing all allies by X HP every round and dealing X2 Nature damage.")</f>
        <v>A gentle glow emanates from the caster healing all allies by X HP every round and dealing X2 Nature damage.</v>
      </c>
      <c r="F178" s="16" t="str">
        <f>IFERROR(__xludf.DUMMYFUNCTION("""COMPUTED_VALUE"""),"Fail/Succeed")</f>
        <v>Fail/Succeed</v>
      </c>
      <c r="G178" s="16" t="str">
        <f>IFERROR(__xludf.DUMMYFUNCTION("""COMPUTED_VALUE"""),"All")</f>
        <v>All</v>
      </c>
      <c r="H178" s="16" t="str">
        <f>IFERROR(__xludf.DUMMYFUNCTION("""COMPUTED_VALUE"""),"Nature")</f>
        <v>Nature</v>
      </c>
    </row>
    <row r="179">
      <c r="A179" s="16" t="str">
        <f>IFERROR(__xludf.DUMMYFUNCTION("""COMPUTED_VALUE"""),"Nature's Wrath")</f>
        <v>Nature's Wrath</v>
      </c>
      <c r="B179" s="16">
        <f>IFERROR(__xludf.DUMMYFUNCTION("""COMPUTED_VALUE"""),9.0)</f>
        <v>9</v>
      </c>
      <c r="C179" s="16">
        <f>IFERROR(__xludf.DUMMYFUNCTION("""COMPUTED_VALUE"""),4000.0)</f>
        <v>4000</v>
      </c>
      <c r="D179" s="16"/>
      <c r="E179" s="16" t="str">
        <f>IFERROR(__xludf.DUMMYFUNCTION("""COMPUTED_VALUE"""),"Deals 20,000 undefendable damage to all enemies with a 5% chance to inflict the effect of entagle.")</f>
        <v>Deals 20,000 undefendable damage to all enemies with a 5% chance to inflict the effect of entagle.</v>
      </c>
      <c r="F179" s="16" t="str">
        <f>IFERROR(__xludf.DUMMYFUNCTION("""COMPUTED_VALUE"""),"Cannot Avoid")</f>
        <v>Cannot Avoid</v>
      </c>
      <c r="G179" s="16" t="str">
        <f>IFERROR(__xludf.DUMMYFUNCTION("""COMPUTED_VALUE"""),"All")</f>
        <v>All</v>
      </c>
      <c r="H179" s="16" t="str">
        <f>IFERROR(__xludf.DUMMYFUNCTION("""COMPUTED_VALUE"""),"Nature")</f>
        <v>Nature</v>
      </c>
    </row>
    <row r="180">
      <c r="A180" s="16" t="str">
        <f>IFERROR(__xludf.DUMMYFUNCTION("""COMPUTED_VALUE"""),"Poison Ivy")</f>
        <v>Poison Ivy</v>
      </c>
      <c r="B180" s="16">
        <f>IFERROR(__xludf.DUMMYFUNCTION("""COMPUTED_VALUE"""),5.0)</f>
        <v>5</v>
      </c>
      <c r="C180" s="16" t="str">
        <f>IFERROR(__xludf.DUMMYFUNCTION("""COMPUTED_VALUE"""),"X")</f>
        <v>X</v>
      </c>
      <c r="D180" s="16"/>
      <c r="E180" s="16" t="str">
        <f>IFERROR(__xludf.DUMMYFUNCTION("""COMPUTED_VALUE"""),"Deals X*50 Poison for 3 rounds to a single target where X is equal to SP spent.")</f>
        <v>Deals X*50 Poison for 3 rounds to a single target where X is equal to SP spent.</v>
      </c>
      <c r="F180" s="16" t="str">
        <f>IFERROR(__xludf.DUMMYFUNCTION("""COMPUTED_VALUE"""),"Hit/Miss")</f>
        <v>Hit/Miss</v>
      </c>
      <c r="G180" s="16">
        <f>IFERROR(__xludf.DUMMYFUNCTION("""COMPUTED_VALUE"""),1.0)</f>
        <v>1</v>
      </c>
      <c r="H180" s="16" t="str">
        <f>IFERROR(__xludf.DUMMYFUNCTION("""COMPUTED_VALUE"""),"Nature")</f>
        <v>Nature</v>
      </c>
    </row>
    <row r="181">
      <c r="A181" s="16" t="str">
        <f>IFERROR(__xludf.DUMMYFUNCTION("""COMPUTED_VALUE"""),"Poisonous Fumes")</f>
        <v>Poisonous Fumes</v>
      </c>
      <c r="B181" s="16">
        <f>IFERROR(__xludf.DUMMYFUNCTION("""COMPUTED_VALUE"""),8.0)</f>
        <v>8</v>
      </c>
      <c r="C181" s="16">
        <f>IFERROR(__xludf.DUMMYFUNCTION("""COMPUTED_VALUE"""),1400.0)</f>
        <v>1400</v>
      </c>
      <c r="D181" s="16"/>
      <c r="E18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81" s="16" t="str">
        <f>IFERROR(__xludf.DUMMYFUNCTION("""COMPUTED_VALUE"""),"Fail/Succeed")</f>
        <v>Fail/Succeed</v>
      </c>
      <c r="G181" s="16"/>
      <c r="H181" s="16" t="str">
        <f>IFERROR(__xludf.DUMMYFUNCTION("""COMPUTED_VALUE"""),"Nature")</f>
        <v>Nature</v>
      </c>
    </row>
    <row r="182">
      <c r="A182" s="16" t="str">
        <f>IFERROR(__xludf.DUMMYFUNCTION("""COMPUTED_VALUE"""),"Razor Leaves")</f>
        <v>Razor Leaves</v>
      </c>
      <c r="B182" s="16">
        <f>IFERROR(__xludf.DUMMYFUNCTION("""COMPUTED_VALUE"""),5.0)</f>
        <v>5</v>
      </c>
      <c r="C182" s="16" t="str">
        <f>IFERROR(__xludf.DUMMYFUNCTION("""COMPUTED_VALUE"""),"X")</f>
        <v>X</v>
      </c>
      <c r="D182" s="16"/>
      <c r="E182" s="16" t="str">
        <f>IFERROR(__xludf.DUMMYFUNCTION("""COMPUTED_VALUE"""),"Deals X*25 Nature damage to all enemies where X is equal to SP spent.")</f>
        <v>Deals X*25 Nature damage to all enemies where X is equal to SP spent.</v>
      </c>
      <c r="F182" s="16" t="str">
        <f>IFERROR(__xludf.DUMMYFUNCTION("""COMPUTED_VALUE"""),"Cannot Avoid")</f>
        <v>Cannot Avoid</v>
      </c>
      <c r="G182" s="16" t="str">
        <f>IFERROR(__xludf.DUMMYFUNCTION("""COMPUTED_VALUE"""),"All")</f>
        <v>All</v>
      </c>
      <c r="H182" s="16" t="str">
        <f>IFERROR(__xludf.DUMMYFUNCTION("""COMPUTED_VALUE"""),"Nature")</f>
        <v>Nature</v>
      </c>
    </row>
    <row r="183">
      <c r="A183" s="16" t="str">
        <f>IFERROR(__xludf.DUMMYFUNCTION("""COMPUTED_VALUE"""),"Regrowth")</f>
        <v>Regrowth</v>
      </c>
      <c r="B183" s="16">
        <f>IFERROR(__xludf.DUMMYFUNCTION("""COMPUTED_VALUE"""),6.0)</f>
        <v>6</v>
      </c>
      <c r="C183" s="16">
        <f>IFERROR(__xludf.DUMMYFUNCTION("""COMPUTED_VALUE"""),75.0)</f>
        <v>75</v>
      </c>
      <c r="D183" s="16"/>
      <c r="E183" s="16" t="str">
        <f>IFERROR(__xludf.DUMMYFUNCTION("""COMPUTED_VALUE"""),"Heals target by 5000 and grants them Invigorated 5.")</f>
        <v>Heals target by 5000 and grants them Invigorated 5.</v>
      </c>
      <c r="F183" s="16" t="str">
        <f>IFERROR(__xludf.DUMMYFUNCTION("""COMPUTED_VALUE"""),"Fail/Succeed")</f>
        <v>Fail/Succeed</v>
      </c>
      <c r="G183" s="16">
        <f>IFERROR(__xludf.DUMMYFUNCTION("""COMPUTED_VALUE"""),1.0)</f>
        <v>1</v>
      </c>
      <c r="H183" s="16" t="str">
        <f>IFERROR(__xludf.DUMMYFUNCTION("""COMPUTED_VALUE"""),"Nature")</f>
        <v>Nature</v>
      </c>
    </row>
    <row r="184">
      <c r="A184" s="16" t="str">
        <f>IFERROR(__xludf.DUMMYFUNCTION("""COMPUTED_VALUE"""),"The Orb of Life")</f>
        <v>The Orb of Life</v>
      </c>
      <c r="B184" s="16">
        <f>IFERROR(__xludf.DUMMYFUNCTION("""COMPUTED_VALUE"""),9.0)</f>
        <v>9</v>
      </c>
      <c r="C184" s="16">
        <f>IFERROR(__xludf.DUMMYFUNCTION("""COMPUTED_VALUE"""),300.0)</f>
        <v>300</v>
      </c>
      <c r="D184" s="16"/>
      <c r="E184" s="16" t="str">
        <f>IFERROR(__xludf.DUMMYFUNCTION("""COMPUTED_VALUE"""),"Summons a life orb that revives 1 target.")</f>
        <v>Summons a life orb that revives 1 target.</v>
      </c>
      <c r="F184" s="16" t="str">
        <f>IFERROR(__xludf.DUMMYFUNCTION("""COMPUTED_VALUE"""),"Fail/Succeed")</f>
        <v>Fail/Succeed</v>
      </c>
      <c r="G184" s="16">
        <f>IFERROR(__xludf.DUMMYFUNCTION("""COMPUTED_VALUE"""),1.0)</f>
        <v>1</v>
      </c>
      <c r="H184" s="16" t="str">
        <f>IFERROR(__xludf.DUMMYFUNCTION("""COMPUTED_VALUE"""),"Nature")</f>
        <v>Nature</v>
      </c>
    </row>
    <row r="185">
      <c r="A185" s="16" t="str">
        <f>IFERROR(__xludf.DUMMYFUNCTION("""COMPUTED_VALUE"""),"The World Tree")</f>
        <v>The World Tree</v>
      </c>
      <c r="B185" s="16">
        <f>IFERROR(__xludf.DUMMYFUNCTION("""COMPUTED_VALUE"""),9.0)</f>
        <v>9</v>
      </c>
      <c r="C185" s="16">
        <f>IFERROR(__xludf.DUMMYFUNCTION("""COMPUTED_VALUE"""),500.0)</f>
        <v>500</v>
      </c>
      <c r="D185" s="16"/>
      <c r="E18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85" s="16" t="str">
        <f>IFERROR(__xludf.DUMMYFUNCTION("""COMPUTED_VALUE"""),"Fail/Succeed")</f>
        <v>Fail/Succeed</v>
      </c>
      <c r="G185" s="16"/>
      <c r="H185" s="16" t="str">
        <f>IFERROR(__xludf.DUMMYFUNCTION("""COMPUTED_VALUE"""),"Nature")</f>
        <v>Nature</v>
      </c>
    </row>
    <row r="186">
      <c r="A186" s="16" t="str">
        <f>IFERROR(__xludf.DUMMYFUNCTION("""COMPUTED_VALUE"""),"Thorn Bush")</f>
        <v>Thorn Bush</v>
      </c>
      <c r="B186" s="16">
        <f>IFERROR(__xludf.DUMMYFUNCTION("""COMPUTED_VALUE"""),6.0)</f>
        <v>6</v>
      </c>
      <c r="C186" s="16" t="str">
        <f>IFERROR(__xludf.DUMMYFUNCTION("""COMPUTED_VALUE"""),"X")</f>
        <v>X</v>
      </c>
      <c r="D186" s="16"/>
      <c r="E186" s="16" t="str">
        <f>IFERROR(__xludf.DUMMYFUNCTION("""COMPUTED_VALUE"""),"Deals X*10 Poison to all enemies for 3 rounds where X is equal to SP spent.")</f>
        <v>Deals X*10 Poison to all enemies for 3 rounds where X is equal to SP spent.</v>
      </c>
      <c r="F186" s="16" t="str">
        <f>IFERROR(__xludf.DUMMYFUNCTION("""COMPUTED_VALUE"""),"Cannot Avoid")</f>
        <v>Cannot Avoid</v>
      </c>
      <c r="G186" s="16" t="str">
        <f>IFERROR(__xludf.DUMMYFUNCTION("""COMPUTED_VALUE"""),"All")</f>
        <v>All</v>
      </c>
      <c r="H186" s="16" t="str">
        <f>IFERROR(__xludf.DUMMYFUNCTION("""COMPUTED_VALUE"""),"Nature")</f>
        <v>Nature</v>
      </c>
    </row>
    <row r="187">
      <c r="A187" s="16" t="str">
        <f>IFERROR(__xludf.DUMMYFUNCTION("""COMPUTED_VALUE"""),"Tower Of The Forest")</f>
        <v>Tower Of The Forest</v>
      </c>
      <c r="B187" s="16">
        <f>IFERROR(__xludf.DUMMYFUNCTION("""COMPUTED_VALUE"""),8.0)</f>
        <v>8</v>
      </c>
      <c r="C187" s="16">
        <f>IFERROR(__xludf.DUMMYFUNCTION("""COMPUTED_VALUE"""),200.0)</f>
        <v>200</v>
      </c>
      <c r="D187" s="16"/>
      <c r="E18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87" s="16" t="str">
        <f>IFERROR(__xludf.DUMMYFUNCTION("""COMPUTED_VALUE"""),"Fail/Succeed")</f>
        <v>Fail/Succeed</v>
      </c>
      <c r="G187" s="16">
        <f>IFERROR(__xludf.DUMMYFUNCTION("""COMPUTED_VALUE"""),1.0)</f>
        <v>1</v>
      </c>
      <c r="H187" s="16" t="str">
        <f>IFERROR(__xludf.DUMMYFUNCTION("""COMPUTED_VALUE"""),"Nature")</f>
        <v>Nature</v>
      </c>
    </row>
    <row r="188">
      <c r="A188" s="16" t="str">
        <f>IFERROR(__xludf.DUMMYFUNCTION("""COMPUTED_VALUE"""),"Vine Hold")</f>
        <v>Vine Hold</v>
      </c>
      <c r="B188" s="16">
        <f>IFERROR(__xludf.DUMMYFUNCTION("""COMPUTED_VALUE"""),6.0)</f>
        <v>6</v>
      </c>
      <c r="C188" s="16">
        <f>IFERROR(__xludf.DUMMYFUNCTION("""COMPUTED_VALUE"""),60.0)</f>
        <v>60</v>
      </c>
      <c r="D188" s="16"/>
      <c r="E188" s="16" t="str">
        <f>IFERROR(__xludf.DUMMYFUNCTION("""COMPUTED_VALUE"""),"6000 poison for 3 rounds, Stun 3")</f>
        <v>6000 poison for 3 rounds, Stun 3</v>
      </c>
      <c r="F188" s="16" t="str">
        <f>IFERROR(__xludf.DUMMYFUNCTION("""COMPUTED_VALUE"""),"Fail/succeed")</f>
        <v>Fail/succeed</v>
      </c>
      <c r="G188" s="16"/>
      <c r="H188" s="16" t="str">
        <f>IFERROR(__xludf.DUMMYFUNCTION("""COMPUTED_VALUE"""),"Nature")</f>
        <v>Nature</v>
      </c>
    </row>
    <row r="189">
      <c r="A189" s="16" t="str">
        <f>IFERROR(__xludf.DUMMYFUNCTION("""COMPUTED_VALUE"""),"Vine Whip")</f>
        <v>Vine Whip</v>
      </c>
      <c r="B189" s="16">
        <f>IFERROR(__xludf.DUMMYFUNCTION("""COMPUTED_VALUE"""),1.0)</f>
        <v>1</v>
      </c>
      <c r="C189" s="16" t="str">
        <f>IFERROR(__xludf.DUMMYFUNCTION("""COMPUTED_VALUE"""),"X")</f>
        <v>X</v>
      </c>
      <c r="D189" s="16"/>
      <c r="E189" s="16" t="str">
        <f>IFERROR(__xludf.DUMMYFUNCTION("""COMPUTED_VALUE"""),"Deals X*100 Nature damage to a single enemy where X is equal to SP spent.")</f>
        <v>Deals X*100 Nature damage to a single enemy where X is equal to SP spent.</v>
      </c>
      <c r="F189" s="16" t="str">
        <f>IFERROR(__xludf.DUMMYFUNCTION("""COMPUTED_VALUE"""),"Hit/Miss")</f>
        <v>Hit/Miss</v>
      </c>
      <c r="G189" s="16">
        <f>IFERROR(__xludf.DUMMYFUNCTION("""COMPUTED_VALUE"""),1.0)</f>
        <v>1</v>
      </c>
      <c r="H189" s="16" t="str">
        <f>IFERROR(__xludf.DUMMYFUNCTION("""COMPUTED_VALUE"""),"Nature")</f>
        <v>Nature</v>
      </c>
    </row>
    <row r="190">
      <c r="A190" s="16" t="str">
        <f>IFERROR(__xludf.DUMMYFUNCTION("""COMPUTED_VALUE"""),"Alliance Guard")</f>
        <v>Alliance Guard</v>
      </c>
      <c r="B190" s="16">
        <f>IFERROR(__xludf.DUMMYFUNCTION("""COMPUTED_VALUE"""),8.0)</f>
        <v>8</v>
      </c>
      <c r="C190" s="16">
        <f>IFERROR(__xludf.DUMMYFUNCTION("""COMPUTED_VALUE"""),80.0)</f>
        <v>80</v>
      </c>
      <c r="D190" s="16"/>
      <c r="E190" s="16" t="str">
        <f>IFERROR(__xludf.DUMMYFUNCTION("""COMPUTED_VALUE"""),"X4 defense to self and all allies until end of battle. 
(1 use)")</f>
        <v>X4 defense to self and all allies until end of battle. 
(1 use)</v>
      </c>
      <c r="F190" s="16" t="str">
        <f>IFERROR(__xludf.DUMMYFUNCTION("""COMPUTED_VALUE"""),"Will succeed")</f>
        <v>Will succeed</v>
      </c>
      <c r="G190" s="16"/>
      <c r="H190" s="16" t="str">
        <f>IFERROR(__xludf.DUMMYFUNCTION("""COMPUTED_VALUE"""),"Order")</f>
        <v>Order</v>
      </c>
    </row>
    <row r="191">
      <c r="A191" s="16" t="str">
        <f>IFERROR(__xludf.DUMMYFUNCTION("""COMPUTED_VALUE"""),"Aura of Order")</f>
        <v>Aura of Order</v>
      </c>
      <c r="B191" s="16">
        <f>IFERROR(__xludf.DUMMYFUNCTION("""COMPUTED_VALUE"""),5.0)</f>
        <v>5</v>
      </c>
      <c r="C191" s="16" t="str">
        <f>IFERROR(__xludf.DUMMYFUNCTION("""COMPUTED_VALUE"""),"X")</f>
        <v>X</v>
      </c>
      <c r="D191" s="16"/>
      <c r="E191" s="16" t="str">
        <f>IFERROR(__xludf.DUMMYFUNCTION("""COMPUTED_VALUE"""),"Deals X*25 Order damage to all enemies where X is equal to SP spent.")</f>
        <v>Deals X*25 Order damage to all enemies where X is equal to SP spent.</v>
      </c>
      <c r="F191" s="16" t="str">
        <f>IFERROR(__xludf.DUMMYFUNCTION("""COMPUTED_VALUE"""),"Cannot Avoid")</f>
        <v>Cannot Avoid</v>
      </c>
      <c r="G191" s="16" t="str">
        <f>IFERROR(__xludf.DUMMYFUNCTION("""COMPUTED_VALUE"""),"All")</f>
        <v>All</v>
      </c>
      <c r="H191" s="16" t="str">
        <f>IFERROR(__xludf.DUMMYFUNCTION("""COMPUTED_VALUE"""),"Order")</f>
        <v>Order</v>
      </c>
    </row>
    <row r="192">
      <c r="A192" s="16" t="str">
        <f>IFERROR(__xludf.DUMMYFUNCTION("""COMPUTED_VALUE"""),"Aura Shot")</f>
        <v>Aura Shot</v>
      </c>
      <c r="B192" s="16">
        <f>IFERROR(__xludf.DUMMYFUNCTION("""COMPUTED_VALUE"""),1.0)</f>
        <v>1</v>
      </c>
      <c r="C192" s="16" t="str">
        <f>IFERROR(__xludf.DUMMYFUNCTION("""COMPUTED_VALUE"""),"X")</f>
        <v>X</v>
      </c>
      <c r="D192" s="16"/>
      <c r="E192" s="16" t="str">
        <f>IFERROR(__xludf.DUMMYFUNCTION("""COMPUTED_VALUE"""),"Deals X*100 Order damage to a single enemy where X is equal to SP spent.")</f>
        <v>Deals X*100 Order damage to a single enemy where X is equal to SP spent.</v>
      </c>
      <c r="F192" s="16" t="str">
        <f>IFERROR(__xludf.DUMMYFUNCTION("""COMPUTED_VALUE"""),"Hit/Miss")</f>
        <v>Hit/Miss</v>
      </c>
      <c r="G192" s="16">
        <f>IFERROR(__xludf.DUMMYFUNCTION("""COMPUTED_VALUE"""),1.0)</f>
        <v>1</v>
      </c>
      <c r="H192" s="16" t="str">
        <f>IFERROR(__xludf.DUMMYFUNCTION("""COMPUTED_VALUE"""),"Order")</f>
        <v>Order</v>
      </c>
    </row>
    <row r="193">
      <c r="A193" s="16" t="str">
        <f>IFERROR(__xludf.DUMMYFUNCTION("""COMPUTED_VALUE"""),"Cancel")</f>
        <v>Cancel</v>
      </c>
      <c r="B193" s="16">
        <f>IFERROR(__xludf.DUMMYFUNCTION("""COMPUTED_VALUE"""),9.0)</f>
        <v>9</v>
      </c>
      <c r="C193" s="16" t="str">
        <f>IFERROR(__xludf.DUMMYFUNCTION("""COMPUTED_VALUE"""),"X*1000")</f>
        <v>X*1000</v>
      </c>
      <c r="D193" s="16"/>
      <c r="E193" s="16" t="str">
        <f>IFERROR(__xludf.DUMMYFUNCTION("""COMPUTED_VALUE"""),"Choose an X amount of target's, those target's Ongoing Spell Effects immediately end.")</f>
        <v>Choose an X amount of target's, those target's Ongoing Spell Effects immediately end.</v>
      </c>
      <c r="F193" s="16" t="str">
        <f>IFERROR(__xludf.DUMMYFUNCTION("""COMPUTED_VALUE"""),"Fail/Succeed")</f>
        <v>Fail/Succeed</v>
      </c>
      <c r="G193" s="16" t="str">
        <f>IFERROR(__xludf.DUMMYFUNCTION("""COMPUTED_VALUE"""),"X")</f>
        <v>X</v>
      </c>
      <c r="H193" s="16" t="str">
        <f>IFERROR(__xludf.DUMMYFUNCTION("""COMPUTED_VALUE"""),"Order")</f>
        <v>Order</v>
      </c>
    </row>
    <row r="194">
      <c r="A194" s="16" t="str">
        <f>IFERROR(__xludf.DUMMYFUNCTION("""COMPUTED_VALUE"""),"Continue")</f>
        <v>Continue</v>
      </c>
      <c r="B194" s="16">
        <f>IFERROR(__xludf.DUMMYFUNCTION("""COMPUTED_VALUE"""),5.0)</f>
        <v>5</v>
      </c>
      <c r="C194" s="16">
        <f>IFERROR(__xludf.DUMMYFUNCTION("""COMPUTED_VALUE"""),50.0)</f>
        <v>50</v>
      </c>
      <c r="D194" s="16"/>
      <c r="E19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94" s="16" t="str">
        <f>IFERROR(__xludf.DUMMYFUNCTION("""COMPUTED_VALUE"""),"Fail/Succeed")</f>
        <v>Fail/Succeed</v>
      </c>
      <c r="G194" s="16"/>
      <c r="H194" s="16" t="str">
        <f>IFERROR(__xludf.DUMMYFUNCTION("""COMPUTED_VALUE"""),"Order")</f>
        <v>Order</v>
      </c>
    </row>
    <row r="195">
      <c r="A195" s="16" t="str">
        <f>IFERROR(__xludf.DUMMYFUNCTION("""COMPUTED_VALUE"""),"Downgrade")</f>
        <v>Downgrade</v>
      </c>
      <c r="B195" s="16">
        <f>IFERROR(__xludf.DUMMYFUNCTION("""COMPUTED_VALUE"""),6.0)</f>
        <v>6</v>
      </c>
      <c r="C195" s="16">
        <f>IFERROR(__xludf.DUMMYFUNCTION("""COMPUTED_VALUE"""),60.0)</f>
        <v>60</v>
      </c>
      <c r="D195" s="16"/>
      <c r="E195" s="16" t="str">
        <f>IFERROR(__xludf.DUMMYFUNCTION("""COMPUTED_VALUE"""),"Decrease an ongoing spell's round/and or turn count by 2.")</f>
        <v>Decrease an ongoing spell's round/and or turn count by 2.</v>
      </c>
      <c r="F195" s="16" t="str">
        <f>IFERROR(__xludf.DUMMYFUNCTION("""COMPUTED_VALUE"""),"Fail/Succeed")</f>
        <v>Fail/Succeed</v>
      </c>
      <c r="G195" s="16"/>
      <c r="H195" s="16" t="str">
        <f>IFERROR(__xludf.DUMMYFUNCTION("""COMPUTED_VALUE"""),"Order")</f>
        <v>Order</v>
      </c>
    </row>
    <row r="196">
      <c r="A196" s="16" t="str">
        <f>IFERROR(__xludf.DUMMYFUNCTION("""COMPUTED_VALUE"""),"Judgement")</f>
        <v>Judgement</v>
      </c>
      <c r="B196" s="16">
        <f>IFERROR(__xludf.DUMMYFUNCTION("""COMPUTED_VALUE"""),5.0)</f>
        <v>5</v>
      </c>
      <c r="C196" s="16" t="str">
        <f>IFERROR(__xludf.DUMMYFUNCTION("""COMPUTED_VALUE"""),"X")</f>
        <v>X</v>
      </c>
      <c r="D196" s="16"/>
      <c r="E196" s="16" t="str">
        <f>IFERROR(__xludf.DUMMYFUNCTION("""COMPUTED_VALUE"""),"Deals X*50 Order damage per round for 3 rounds to a single target where X is equal to SP spent.")</f>
        <v>Deals X*50 Order damage per round for 3 rounds to a single target where X is equal to SP spent.</v>
      </c>
      <c r="F196" s="16" t="str">
        <f>IFERROR(__xludf.DUMMYFUNCTION("""COMPUTED_VALUE"""),"Hit/Miss")</f>
        <v>Hit/Miss</v>
      </c>
      <c r="G196" s="16">
        <f>IFERROR(__xludf.DUMMYFUNCTION("""COMPUTED_VALUE"""),1.0)</f>
        <v>1</v>
      </c>
      <c r="H196" s="16" t="str">
        <f>IFERROR(__xludf.DUMMYFUNCTION("""COMPUTED_VALUE"""),"Order")</f>
        <v>Order</v>
      </c>
    </row>
    <row r="197">
      <c r="A197" s="16" t="str">
        <f>IFERROR(__xludf.DUMMYFUNCTION("""COMPUTED_VALUE"""),"Mass Judgement")</f>
        <v>Mass Judgement</v>
      </c>
      <c r="B197" s="16">
        <f>IFERROR(__xludf.DUMMYFUNCTION("""COMPUTED_VALUE"""),6.0)</f>
        <v>6</v>
      </c>
      <c r="C197" s="16" t="str">
        <f>IFERROR(__xludf.DUMMYFUNCTION("""COMPUTED_VALUE"""),"X")</f>
        <v>X</v>
      </c>
      <c r="D197" s="16"/>
      <c r="E197" s="16" t="str">
        <f>IFERROR(__xludf.DUMMYFUNCTION("""COMPUTED_VALUE"""),"Deals X*10 Order damage per round to all enemies for 3 rounds where X is equal to SP spent.")</f>
        <v>Deals X*10 Order damage per round to all enemies for 3 rounds where X is equal to SP spent.</v>
      </c>
      <c r="F197" s="16" t="str">
        <f>IFERROR(__xludf.DUMMYFUNCTION("""COMPUTED_VALUE"""),"Cannot Avoid")</f>
        <v>Cannot Avoid</v>
      </c>
      <c r="G197" s="16" t="str">
        <f>IFERROR(__xludf.DUMMYFUNCTION("""COMPUTED_VALUE"""),"All")</f>
        <v>All</v>
      </c>
      <c r="H197" s="16" t="str">
        <f>IFERROR(__xludf.DUMMYFUNCTION("""COMPUTED_VALUE"""),"Order")</f>
        <v>Order</v>
      </c>
    </row>
    <row r="198">
      <c r="A198" s="16" t="str">
        <f>IFERROR(__xludf.DUMMYFUNCTION("""COMPUTED_VALUE"""),"Medium Ward")</f>
        <v>Medium Ward</v>
      </c>
      <c r="B198" s="16">
        <f>IFERROR(__xludf.DUMMYFUNCTION("""COMPUTED_VALUE"""),6.0)</f>
        <v>6</v>
      </c>
      <c r="C198" s="16">
        <f>IFERROR(__xludf.DUMMYFUNCTION("""COMPUTED_VALUE"""),60.0)</f>
        <v>60</v>
      </c>
      <c r="D198" s="16"/>
      <c r="E19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98" s="16" t="str">
        <f>IFERROR(__xludf.DUMMYFUNCTION("""COMPUTED_VALUE"""),"Fail/succeed")</f>
        <v>Fail/succeed</v>
      </c>
      <c r="G198" s="16"/>
      <c r="H198" s="16" t="str">
        <f>IFERROR(__xludf.DUMMYFUNCTION("""COMPUTED_VALUE"""),"Order")</f>
        <v>Order</v>
      </c>
    </row>
    <row r="199">
      <c r="A199" s="16" t="str">
        <f>IFERROR(__xludf.DUMMYFUNCTION("""COMPUTED_VALUE"""),"Multi Ward")</f>
        <v>Multi Ward</v>
      </c>
      <c r="B199" s="16">
        <f>IFERROR(__xludf.DUMMYFUNCTION("""COMPUTED_VALUE"""),9.0)</f>
        <v>9</v>
      </c>
      <c r="C199" s="16">
        <f>IFERROR(__xludf.DUMMYFUNCTION("""COMPUTED_VALUE"""),300.0)</f>
        <v>300</v>
      </c>
      <c r="D199" s="16"/>
      <c r="E19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99" s="16" t="str">
        <f>IFERROR(__xludf.DUMMYFUNCTION("""COMPUTED_VALUE"""),"Fail/Succeed")</f>
        <v>Fail/Succeed</v>
      </c>
      <c r="G199" s="16"/>
      <c r="H199" s="16" t="str">
        <f>IFERROR(__xludf.DUMMYFUNCTION("""COMPUTED_VALUE"""),"Order")</f>
        <v>Order</v>
      </c>
    </row>
    <row r="200">
      <c r="A200" s="16" t="str">
        <f>IFERROR(__xludf.DUMMYFUNCTION("""COMPUTED_VALUE"""),"Neutralize")</f>
        <v>Neutralize</v>
      </c>
      <c r="B200" s="16">
        <f>IFERROR(__xludf.DUMMYFUNCTION("""COMPUTED_VALUE"""),9.0)</f>
        <v>9</v>
      </c>
      <c r="C200" s="16">
        <f>IFERROR(__xludf.DUMMYFUNCTION("""COMPUTED_VALUE"""),300.0)</f>
        <v>300</v>
      </c>
      <c r="D200" s="16"/>
      <c r="E20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200" s="16" t="str">
        <f>IFERROR(__xludf.DUMMYFUNCTION("""COMPUTED_VALUE"""),"Fail/Succeed")</f>
        <v>Fail/Succeed</v>
      </c>
      <c r="G200" s="16"/>
      <c r="H200" s="16" t="str">
        <f>IFERROR(__xludf.DUMMYFUNCTION("""COMPUTED_VALUE"""),"Order")</f>
        <v>Order</v>
      </c>
    </row>
    <row r="201">
      <c r="A201" s="16" t="str">
        <f>IFERROR(__xludf.DUMMYFUNCTION("""COMPUTED_VALUE"""),"Protection")</f>
        <v>Protection</v>
      </c>
      <c r="B201" s="16">
        <f>IFERROR(__xludf.DUMMYFUNCTION("""COMPUTED_VALUE"""),2.0)</f>
        <v>2</v>
      </c>
      <c r="C201" s="16">
        <f>IFERROR(__xludf.DUMMYFUNCTION("""COMPUTED_VALUE"""),20.0)</f>
        <v>20</v>
      </c>
      <c r="D201" s="16"/>
      <c r="E201" s="16" t="str">
        <f>IFERROR(__xludf.DUMMYFUNCTION("""COMPUTED_VALUE"""),"X2 Defense to self and allies.")</f>
        <v>X2 Defense to self and allies.</v>
      </c>
      <c r="F201" s="16" t="str">
        <f>IFERROR(__xludf.DUMMYFUNCTION("""COMPUTED_VALUE"""),"Will Succeed")</f>
        <v>Will Succeed</v>
      </c>
      <c r="G201" s="16"/>
      <c r="H201" s="16" t="str">
        <f>IFERROR(__xludf.DUMMYFUNCTION("""COMPUTED_VALUE"""),"Order")</f>
        <v>Order</v>
      </c>
    </row>
    <row r="202">
      <c r="A202" s="16" t="str">
        <f>IFERROR(__xludf.DUMMYFUNCTION("""COMPUTED_VALUE"""),"Reflect")</f>
        <v>Reflect</v>
      </c>
      <c r="B202" s="16">
        <f>IFERROR(__xludf.DUMMYFUNCTION("""COMPUTED_VALUE"""),2.0)</f>
        <v>2</v>
      </c>
      <c r="C202" s="16">
        <f>IFERROR(__xludf.DUMMYFUNCTION("""COMPUTED_VALUE"""),20.0)</f>
        <v>20</v>
      </c>
      <c r="D202" s="16"/>
      <c r="E202" s="16" t="str">
        <f>IFERROR(__xludf.DUMMYFUNCTION("""COMPUTED_VALUE"""),"Inflict Half the damage you take from the next attack on the attacker")</f>
        <v>Inflict Half the damage you take from the next attack on the attacker</v>
      </c>
      <c r="F202" s="16" t="str">
        <f>IFERROR(__xludf.DUMMYFUNCTION("""COMPUTED_VALUE"""),"Fail/succeed")</f>
        <v>Fail/succeed</v>
      </c>
      <c r="G202" s="16"/>
      <c r="H202" s="16" t="str">
        <f>IFERROR(__xludf.DUMMYFUNCTION("""COMPUTED_VALUE"""),"Order")</f>
        <v>Order</v>
      </c>
    </row>
    <row r="203">
      <c r="A203" s="16" t="str">
        <f>IFERROR(__xludf.DUMMYFUNCTION("""COMPUTED_VALUE"""),"Strong Ward")</f>
        <v>Strong Ward</v>
      </c>
      <c r="B203" s="16">
        <f>IFERROR(__xludf.DUMMYFUNCTION("""COMPUTED_VALUE"""),9.0)</f>
        <v>9</v>
      </c>
      <c r="C203" s="16">
        <f>IFERROR(__xludf.DUMMYFUNCTION("""COMPUTED_VALUE"""),300.0)</f>
        <v>300</v>
      </c>
      <c r="D203" s="16"/>
      <c r="E20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03" s="16" t="str">
        <f>IFERROR(__xludf.DUMMYFUNCTION("""COMPUTED_VALUE"""),"Fail/succeed")</f>
        <v>Fail/succeed</v>
      </c>
      <c r="G203" s="16"/>
      <c r="H203" s="16" t="str">
        <f>IFERROR(__xludf.DUMMYFUNCTION("""COMPUTED_VALUE"""),"Order")</f>
        <v>Order</v>
      </c>
    </row>
    <row r="204">
      <c r="A204" s="16" t="str">
        <f>IFERROR(__xludf.DUMMYFUNCTION("""COMPUTED_VALUE"""),"Tower Of Truth")</f>
        <v>Tower Of Truth</v>
      </c>
      <c r="B204" s="16">
        <f>IFERROR(__xludf.DUMMYFUNCTION("""COMPUTED_VALUE"""),8.0)</f>
        <v>8</v>
      </c>
      <c r="C204" s="16">
        <f>IFERROR(__xludf.DUMMYFUNCTION("""COMPUTED_VALUE"""),200.0)</f>
        <v>200</v>
      </c>
      <c r="D204" s="16"/>
      <c r="E20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204" s="16" t="str">
        <f>IFERROR(__xludf.DUMMYFUNCTION("""COMPUTED_VALUE"""),"Fail/succeed")</f>
        <v>Fail/succeed</v>
      </c>
      <c r="G204" s="16">
        <f>IFERROR(__xludf.DUMMYFUNCTION("""COMPUTED_VALUE"""),1.0)</f>
        <v>1</v>
      </c>
      <c r="H204" s="16" t="str">
        <f>IFERROR(__xludf.DUMMYFUNCTION("""COMPUTED_VALUE"""),"Order")</f>
        <v>Order</v>
      </c>
    </row>
    <row r="205">
      <c r="A205" s="16" t="str">
        <f>IFERROR(__xludf.DUMMYFUNCTION("""COMPUTED_VALUE"""),"Ward")</f>
        <v>Ward</v>
      </c>
      <c r="B205" s="16">
        <f>IFERROR(__xludf.DUMMYFUNCTION("""COMPUTED_VALUE"""),6.0)</f>
        <v>6</v>
      </c>
      <c r="C205" s="16">
        <f>IFERROR(__xludf.DUMMYFUNCTION("""COMPUTED_VALUE"""),60.0)</f>
        <v>60</v>
      </c>
      <c r="D205" s="16"/>
      <c r="E20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205" s="16" t="str">
        <f>IFERROR(__xludf.DUMMYFUNCTION("""COMPUTED_VALUE"""),"Fail/succeed")</f>
        <v>Fail/succeed</v>
      </c>
      <c r="G205" s="16"/>
      <c r="H205" s="16" t="str">
        <f>IFERROR(__xludf.DUMMYFUNCTION("""COMPUTED_VALUE"""),"Order")</f>
        <v>Order</v>
      </c>
    </row>
    <row r="206">
      <c r="A206" s="16" t="str">
        <f>IFERROR(__xludf.DUMMYFUNCTION("""COMPUTED_VALUE"""),"[Element] Strike")</f>
        <v>[Element] Strike</v>
      </c>
      <c r="B206" s="16">
        <f>IFERROR(__xludf.DUMMYFUNCTION("""COMPUTED_VALUE"""),4.0)</f>
        <v>4</v>
      </c>
      <c r="C206" s="16">
        <f>IFERROR(__xludf.DUMMYFUNCTION("""COMPUTED_VALUE"""),40.0)</f>
        <v>40</v>
      </c>
      <c r="D206" s="16"/>
      <c r="E20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206" s="16" t="str">
        <f>IFERROR(__xludf.DUMMYFUNCTION("""COMPUTED_VALUE"""),"Fail/succeed")</f>
        <v>Fail/succeed</v>
      </c>
      <c r="G206" s="16"/>
      <c r="H206" s="16" t="str">
        <f>IFERROR(__xludf.DUMMYFUNCTION("""COMPUTED_VALUE"""),"Physical")</f>
        <v>Physical</v>
      </c>
    </row>
    <row r="207">
      <c r="A207" s="16" t="str">
        <f>IFERROR(__xludf.DUMMYFUNCTION("""COMPUTED_VALUE"""),"Bite")</f>
        <v>Bite</v>
      </c>
      <c r="B207" s="16">
        <f>IFERROR(__xludf.DUMMYFUNCTION("""COMPUTED_VALUE"""),1.0)</f>
        <v>1</v>
      </c>
      <c r="C207" s="16">
        <f>IFERROR(__xludf.DUMMYFUNCTION("""COMPUTED_VALUE"""),0.0)</f>
        <v>0</v>
      </c>
      <c r="D207" s="16"/>
      <c r="E207" s="16" t="str">
        <f>IFERROR(__xludf.DUMMYFUNCTION("""COMPUTED_VALUE"""),"X*2 damage of your primary element where X is equal to your attack. 50% chance to hit twice")</f>
        <v>X*2 damage of your primary element where X is equal to your attack. 50% chance to hit twice</v>
      </c>
      <c r="F207" s="16" t="str">
        <f>IFERROR(__xludf.DUMMYFUNCTION("""COMPUTED_VALUE"""),"Natural/Hit or Miss")</f>
        <v>Natural/Hit or Miss</v>
      </c>
      <c r="G207" s="16">
        <f>IFERROR(__xludf.DUMMYFUNCTION("""COMPUTED_VALUE"""),1.0)</f>
        <v>1</v>
      </c>
      <c r="H207" s="16" t="str">
        <f>IFERROR(__xludf.DUMMYFUNCTION("""COMPUTED_VALUE"""),"Physical")</f>
        <v>Physical</v>
      </c>
    </row>
    <row r="208">
      <c r="A208" s="16" t="str">
        <f>IFERROR(__xludf.DUMMYFUNCTION("""COMPUTED_VALUE"""),"Body armor")</f>
        <v>Body armor</v>
      </c>
      <c r="B208" s="16">
        <f>IFERROR(__xludf.DUMMYFUNCTION("""COMPUTED_VALUE"""),1.0)</f>
        <v>1</v>
      </c>
      <c r="C208" s="16">
        <f>IFERROR(__xludf.DUMMYFUNCTION("""COMPUTED_VALUE"""),10.0)</f>
        <v>10</v>
      </c>
      <c r="D208" s="16"/>
      <c r="E208" s="16" t="str">
        <f>IFERROR(__xludf.DUMMYFUNCTION("""COMPUTED_VALUE"""),"100 defense until the end of the round")</f>
        <v>100 defense until the end of the round</v>
      </c>
      <c r="F208" s="16" t="str">
        <f>IFERROR(__xludf.DUMMYFUNCTION("""COMPUTED_VALUE"""),"Will Succeed")</f>
        <v>Will Succeed</v>
      </c>
      <c r="G208" s="16"/>
      <c r="H208" s="16" t="str">
        <f>IFERROR(__xludf.DUMMYFUNCTION("""COMPUTED_VALUE"""),"Physical")</f>
        <v>Physical</v>
      </c>
    </row>
    <row r="209">
      <c r="A209" s="16" t="str">
        <f>IFERROR(__xludf.DUMMYFUNCTION("""COMPUTED_VALUE"""),"Charge")</f>
        <v>Charge</v>
      </c>
      <c r="B209" s="16">
        <f>IFERROR(__xludf.DUMMYFUNCTION("""COMPUTED_VALUE"""),2.0)</f>
        <v>2</v>
      </c>
      <c r="C209" s="16">
        <f>IFERROR(__xludf.DUMMYFUNCTION("""COMPUTED_VALUE"""),20.0)</f>
        <v>20</v>
      </c>
      <c r="D209" s="16"/>
      <c r="E209" s="16" t="str">
        <f>IFERROR(__xludf.DUMMYFUNCTION("""COMPUTED_VALUE"""),"X2 additional damage for the Caster for 3 rounds.")</f>
        <v>X2 additional damage for the Caster for 3 rounds.</v>
      </c>
      <c r="F209" s="16" t="str">
        <f>IFERROR(__xludf.DUMMYFUNCTION("""COMPUTED_VALUE"""),"Will Succeed")</f>
        <v>Will Succeed</v>
      </c>
      <c r="G209" s="16"/>
      <c r="H209" s="16" t="str">
        <f>IFERROR(__xludf.DUMMYFUNCTION("""COMPUTED_VALUE"""),"Physical")</f>
        <v>Physical</v>
      </c>
    </row>
    <row r="210">
      <c r="A210" s="16" t="str">
        <f>IFERROR(__xludf.DUMMYFUNCTION("""COMPUTED_VALUE"""),"Confiscate")</f>
        <v>Confiscate</v>
      </c>
      <c r="B210" s="16">
        <f>IFERROR(__xludf.DUMMYFUNCTION("""COMPUTED_VALUE"""),1.0)</f>
        <v>1</v>
      </c>
      <c r="C210" s="16">
        <f>IFERROR(__xludf.DUMMYFUNCTION("""COMPUTED_VALUE"""),0.0)</f>
        <v>0</v>
      </c>
      <c r="D210" s="16"/>
      <c r="E21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10" s="16" t="str">
        <f>IFERROR(__xludf.DUMMYFUNCTION("""COMPUTED_VALUE"""),"Natural/Fail or Succeed")</f>
        <v>Natural/Fail or Succeed</v>
      </c>
      <c r="G210" s="16">
        <f>IFERROR(__xludf.DUMMYFUNCTION("""COMPUTED_VALUE"""),1.0)</f>
        <v>1</v>
      </c>
      <c r="H210" s="16" t="str">
        <f>IFERROR(__xludf.DUMMYFUNCTION("""COMPUTED_VALUE"""),"Physical")</f>
        <v>Physical</v>
      </c>
    </row>
    <row r="211">
      <c r="A211" s="16" t="str">
        <f>IFERROR(__xludf.DUMMYFUNCTION("""COMPUTED_VALUE"""),"Decrease")</f>
        <v>Decrease</v>
      </c>
      <c r="B211" s="16">
        <f>IFERROR(__xludf.DUMMYFUNCTION("""COMPUTED_VALUE"""),7.0)</f>
        <v>7</v>
      </c>
      <c r="C211" s="16">
        <f>IFERROR(__xludf.DUMMYFUNCTION("""COMPUTED_VALUE"""),100.0)</f>
        <v>100</v>
      </c>
      <c r="D211" s="16"/>
      <c r="E211" s="16" t="str">
        <f>IFERROR(__xludf.DUMMYFUNCTION("""COMPUTED_VALUE"""),"Decrease targets attack, defense, and accuracy permanently by 7000.")</f>
        <v>Decrease targets attack, defense, and accuracy permanently by 7000.</v>
      </c>
      <c r="F211" s="16" t="str">
        <f>IFERROR(__xludf.DUMMYFUNCTION("""COMPUTED_VALUE"""),"Fail/succeed")</f>
        <v>Fail/succeed</v>
      </c>
      <c r="G211" s="16"/>
      <c r="H211" s="16" t="str">
        <f>IFERROR(__xludf.DUMMYFUNCTION("""COMPUTED_VALUE"""),"Physical")</f>
        <v>Physical</v>
      </c>
    </row>
    <row r="212">
      <c r="A212" s="16" t="str">
        <f>IFERROR(__xludf.DUMMYFUNCTION("""COMPUTED_VALUE"""),"Defender's Tenacity")</f>
        <v>Defender's Tenacity</v>
      </c>
      <c r="B212" s="16">
        <f>IFERROR(__xludf.DUMMYFUNCTION("""COMPUTED_VALUE"""),5.0)</f>
        <v>5</v>
      </c>
      <c r="C212" s="16" t="str">
        <f>IFERROR(__xludf.DUMMYFUNCTION("""COMPUTED_VALUE"""),"X")</f>
        <v>X</v>
      </c>
      <c r="D212" s="16"/>
      <c r="E212" s="16" t="str">
        <f>IFERROR(__xludf.DUMMYFUNCTION("""COMPUTED_VALUE"""),"Roll a D20 for additional defense, times it by the amount of mana you pay.")</f>
        <v>Roll a D20 for additional defense, times it by the amount of mana you pay.</v>
      </c>
      <c r="F212" s="16" t="str">
        <f>IFERROR(__xludf.DUMMYFUNCTION("""COMPUTED_VALUE"""),"Will Succeed")</f>
        <v>Will Succeed</v>
      </c>
      <c r="G212" s="16" t="str">
        <f>IFERROR(__xludf.DUMMYFUNCTION("""COMPUTED_VALUE"""),"Self")</f>
        <v>Self</v>
      </c>
      <c r="H212" s="16" t="str">
        <f>IFERROR(__xludf.DUMMYFUNCTION("""COMPUTED_VALUE"""),"Physical")</f>
        <v>Physical</v>
      </c>
    </row>
    <row r="213">
      <c r="A213" s="16" t="str">
        <f>IFERROR(__xludf.DUMMYFUNCTION("""COMPUTED_VALUE"""),"Evil touch")</f>
        <v>Evil touch</v>
      </c>
      <c r="B213" s="16">
        <f>IFERROR(__xludf.DUMMYFUNCTION("""COMPUTED_VALUE"""),1.0)</f>
        <v>1</v>
      </c>
      <c r="C213" s="16">
        <f>IFERROR(__xludf.DUMMYFUNCTION("""COMPUTED_VALUE"""),10.0)</f>
        <v>10</v>
      </c>
      <c r="D213" s="16"/>
      <c r="E213" s="16" t="str">
        <f>IFERROR(__xludf.DUMMYFUNCTION("""COMPUTED_VALUE"""),"50% chance of poison 100")</f>
        <v>50% chance of poison 100</v>
      </c>
      <c r="F213" s="16" t="str">
        <f>IFERROR(__xludf.DUMMYFUNCTION("""COMPUTED_VALUE"""),"Will Succeed")</f>
        <v>Will Succeed</v>
      </c>
      <c r="G213" s="16"/>
      <c r="H213" s="16" t="str">
        <f>IFERROR(__xludf.DUMMYFUNCTION("""COMPUTED_VALUE"""),"Physical")</f>
        <v>Physical</v>
      </c>
    </row>
    <row r="214">
      <c r="A214" s="16" t="str">
        <f>IFERROR(__xludf.DUMMYFUNCTION("""COMPUTED_VALUE"""),"Guard")</f>
        <v>Guard</v>
      </c>
      <c r="B214" s="16">
        <f>IFERROR(__xludf.DUMMYFUNCTION("""COMPUTED_VALUE"""),1.0)</f>
        <v>1</v>
      </c>
      <c r="C214" s="16">
        <f>IFERROR(__xludf.DUMMYFUNCTION("""COMPUTED_VALUE"""),0.0)</f>
        <v>0</v>
      </c>
      <c r="D214" s="16"/>
      <c r="E214" s="16" t="str">
        <f>IFERROR(__xludf.DUMMYFUNCTION("""COMPUTED_VALUE"""),"X2 defense for the user only.")</f>
        <v>X2 defense for the user only.</v>
      </c>
      <c r="F214" s="16" t="str">
        <f>IFERROR(__xludf.DUMMYFUNCTION("""COMPUTED_VALUE"""),"Natural/Fail or Succeed")</f>
        <v>Natural/Fail or Succeed</v>
      </c>
      <c r="G214" s="16" t="str">
        <f>IFERROR(__xludf.DUMMYFUNCTION("""COMPUTED_VALUE"""),"Self")</f>
        <v>Self</v>
      </c>
      <c r="H214" s="16" t="str">
        <f>IFERROR(__xludf.DUMMYFUNCTION("""COMPUTED_VALUE"""),"Physical")</f>
        <v>Physical</v>
      </c>
    </row>
    <row r="215">
      <c r="A215" s="16" t="str">
        <f>IFERROR(__xludf.DUMMYFUNCTION("""COMPUTED_VALUE"""),"Hard Punch")</f>
        <v>Hard Punch</v>
      </c>
      <c r="B215" s="16">
        <f>IFERROR(__xludf.DUMMYFUNCTION("""COMPUTED_VALUE"""),1.0)</f>
        <v>1</v>
      </c>
      <c r="C215" s="16">
        <f>IFERROR(__xludf.DUMMYFUNCTION("""COMPUTED_VALUE"""),10.0)</f>
        <v>10</v>
      </c>
      <c r="D215" s="16"/>
      <c r="E215" s="16" t="str">
        <f>IFERROR(__xludf.DUMMYFUNCTION("""COMPUTED_VALUE"""),"Roll for an attack twice and take the higher number.")</f>
        <v>Roll for an attack twice and take the higher number.</v>
      </c>
      <c r="F215" s="16" t="str">
        <f>IFERROR(__xludf.DUMMYFUNCTION("""COMPUTED_VALUE"""),"Will Succeed")</f>
        <v>Will Succeed</v>
      </c>
      <c r="G215" s="16"/>
      <c r="H215" s="16" t="str">
        <f>IFERROR(__xludf.DUMMYFUNCTION("""COMPUTED_VALUE"""),"Physical")</f>
        <v>Physical</v>
      </c>
    </row>
    <row r="216">
      <c r="A216" s="16" t="str">
        <f>IFERROR(__xludf.DUMMYFUNCTION("""COMPUTED_VALUE"""),"Heighten Reflexes")</f>
        <v>Heighten Reflexes</v>
      </c>
      <c r="B216" s="16">
        <f>IFERROR(__xludf.DUMMYFUNCTION("""COMPUTED_VALUE"""),3.0)</f>
        <v>3</v>
      </c>
      <c r="C216" s="16">
        <f>IFERROR(__xludf.DUMMYFUNCTION("""COMPUTED_VALUE"""),30.0)</f>
        <v>30</v>
      </c>
      <c r="D216" s="16"/>
      <c r="E216" s="16" t="str">
        <f>IFERROR(__xludf.DUMMYFUNCTION("""COMPUTED_VALUE"""),"Double your own evasion until the end of your next turn.")</f>
        <v>Double your own evasion until the end of your next turn.</v>
      </c>
      <c r="F216" s="16" t="str">
        <f>IFERROR(__xludf.DUMMYFUNCTION("""COMPUTED_VALUE"""),"Will Succeed")</f>
        <v>Will Succeed</v>
      </c>
      <c r="G216" s="16"/>
      <c r="H216" s="16" t="str">
        <f>IFERROR(__xludf.DUMMYFUNCTION("""COMPUTED_VALUE"""),"Physical")</f>
        <v>Physical</v>
      </c>
    </row>
    <row r="217">
      <c r="A217" s="16" t="str">
        <f>IFERROR(__xludf.DUMMYFUNCTION("""COMPUTED_VALUE"""),"Increase")</f>
        <v>Increase</v>
      </c>
      <c r="B217" s="16">
        <f>IFERROR(__xludf.DUMMYFUNCTION("""COMPUTED_VALUE"""),5.0)</f>
        <v>5</v>
      </c>
      <c r="C217" s="16">
        <f>IFERROR(__xludf.DUMMYFUNCTION("""COMPUTED_VALUE"""),50.0)</f>
        <v>50</v>
      </c>
      <c r="D217" s="16"/>
      <c r="E217" s="16" t="str">
        <f>IFERROR(__xludf.DUMMYFUNCTION("""COMPUTED_VALUE"""),"X4 additional damage for the Caster for 3 rounds.")</f>
        <v>X4 additional damage for the Caster for 3 rounds.</v>
      </c>
      <c r="F217" s="16" t="str">
        <f>IFERROR(__xludf.DUMMYFUNCTION("""COMPUTED_VALUE"""),"Will Succeed")</f>
        <v>Will Succeed</v>
      </c>
      <c r="G217" s="16"/>
      <c r="H217" s="16" t="str">
        <f>IFERROR(__xludf.DUMMYFUNCTION("""COMPUTED_VALUE"""),"Physical")</f>
        <v>Physical</v>
      </c>
    </row>
    <row r="218">
      <c r="A218" s="16" t="str">
        <f>IFERROR(__xludf.DUMMYFUNCTION("""COMPUTED_VALUE"""),"Meditate")</f>
        <v>Meditate</v>
      </c>
      <c r="B218" s="16">
        <f>IFERROR(__xludf.DUMMYFUNCTION("""COMPUTED_VALUE"""),6.0)</f>
        <v>6</v>
      </c>
      <c r="C218" s="16" t="str">
        <f>IFERROR(__xludf.DUMMYFUNCTION("""COMPUTED_VALUE"""),"X")</f>
        <v>X</v>
      </c>
      <c r="D218" s="16"/>
      <c r="E218" s="16" t="str">
        <f>IFERROR(__xludf.DUMMYFUNCTION("""COMPUTED_VALUE"""),"Regain X*100 HP")</f>
        <v>Regain X*100 HP</v>
      </c>
      <c r="F218" s="16" t="str">
        <f>IFERROR(__xludf.DUMMYFUNCTION("""COMPUTED_VALUE"""),"Will succeed")</f>
        <v>Will succeed</v>
      </c>
      <c r="G218" s="16"/>
      <c r="H218" s="16" t="str">
        <f>IFERROR(__xludf.DUMMYFUNCTION("""COMPUTED_VALUE"""),"Physical")</f>
        <v>Physical</v>
      </c>
    </row>
    <row r="219">
      <c r="A219" s="16" t="str">
        <f>IFERROR(__xludf.DUMMYFUNCTION("""COMPUTED_VALUE"""),"Parry")</f>
        <v>Parry</v>
      </c>
      <c r="B219" s="16">
        <f>IFERROR(__xludf.DUMMYFUNCTION("""COMPUTED_VALUE"""),1.0)</f>
        <v>1</v>
      </c>
      <c r="C219" s="16">
        <f>IFERROR(__xludf.DUMMYFUNCTION("""COMPUTED_VALUE"""),0.0)</f>
        <v>0</v>
      </c>
      <c r="D219" s="16"/>
      <c r="E219" s="16" t="str">
        <f>IFERROR(__xludf.DUMMYFUNCTION("""COMPUTED_VALUE"""),"(requires a weapon be equipped) parry the next weapon attack as per the handbook ability: Parry")</f>
        <v>(requires a weapon be equipped) parry the next weapon attack as per the handbook ability: Parry</v>
      </c>
      <c r="F219" s="16" t="str">
        <f>IFERROR(__xludf.DUMMYFUNCTION("""COMPUTED_VALUE"""),"Natural/Fail or Succeed")</f>
        <v>Natural/Fail or Succeed</v>
      </c>
      <c r="G219" s="16" t="str">
        <f>IFERROR(__xludf.DUMMYFUNCTION("""COMPUTED_VALUE"""),"Self")</f>
        <v>Self</v>
      </c>
      <c r="H219" s="16" t="str">
        <f>IFERROR(__xludf.DUMMYFUNCTION("""COMPUTED_VALUE"""),"Physical")</f>
        <v>Physical</v>
      </c>
    </row>
    <row r="220">
      <c r="A220" s="16" t="str">
        <f>IFERROR(__xludf.DUMMYFUNCTION("""COMPUTED_VALUE"""),"Pay Back")</f>
        <v>Pay Back</v>
      </c>
      <c r="B220" s="16">
        <f>IFERROR(__xludf.DUMMYFUNCTION("""COMPUTED_VALUE"""),9.0)</f>
        <v>9</v>
      </c>
      <c r="C220" s="16">
        <f>IFERROR(__xludf.DUMMYFUNCTION("""COMPUTED_VALUE"""),300.0)</f>
        <v>300</v>
      </c>
      <c r="D220" s="16"/>
      <c r="E22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20" s="16" t="str">
        <f>IFERROR(__xludf.DUMMYFUNCTION("""COMPUTED_VALUE"""),"Fail/Succeed")</f>
        <v>Fail/Succeed</v>
      </c>
      <c r="G220" s="16">
        <f>IFERROR(__xludf.DUMMYFUNCTION("""COMPUTED_VALUE"""),1.0)</f>
        <v>1</v>
      </c>
      <c r="H220" s="16" t="str">
        <f>IFERROR(__xludf.DUMMYFUNCTION("""COMPUTED_VALUE"""),"Physical")</f>
        <v>Physical</v>
      </c>
    </row>
    <row r="221">
      <c r="A221" s="16" t="str">
        <f>IFERROR(__xludf.DUMMYFUNCTION("""COMPUTED_VALUE"""),"Power Increase")</f>
        <v>Power Increase</v>
      </c>
      <c r="B221" s="16">
        <f>IFERROR(__xludf.DUMMYFUNCTION("""COMPUTED_VALUE"""),9.0)</f>
        <v>9</v>
      </c>
      <c r="C221" s="16">
        <f>IFERROR(__xludf.DUMMYFUNCTION("""COMPUTED_VALUE"""),300.0)</f>
        <v>300</v>
      </c>
      <c r="D221" s="16"/>
      <c r="E221" s="16" t="str">
        <f>IFERROR(__xludf.DUMMYFUNCTION("""COMPUTED_VALUE"""),"Gain 20000 attack and accuracy for 3 rounds.")</f>
        <v>Gain 20000 attack and accuracy for 3 rounds.</v>
      </c>
      <c r="F221" s="16" t="str">
        <f>IFERROR(__xludf.DUMMYFUNCTION("""COMPUTED_VALUE"""),"Will Succeed")</f>
        <v>Will Succeed</v>
      </c>
      <c r="G221" s="16"/>
      <c r="H221" s="16" t="str">
        <f>IFERROR(__xludf.DUMMYFUNCTION("""COMPUTED_VALUE"""),"Physical")</f>
        <v>Physical</v>
      </c>
    </row>
    <row r="222">
      <c r="A222" s="16" t="str">
        <f>IFERROR(__xludf.DUMMYFUNCTION("""COMPUTED_VALUE"""),"Punch")</f>
        <v>Punch</v>
      </c>
      <c r="B222" s="16">
        <f>IFERROR(__xludf.DUMMYFUNCTION("""COMPUTED_VALUE"""),1.0)</f>
        <v>1</v>
      </c>
      <c r="C222" s="16">
        <f>IFERROR(__xludf.DUMMYFUNCTION("""COMPUTED_VALUE"""),0.0)</f>
        <v>0</v>
      </c>
      <c r="D222" s="16"/>
      <c r="E222" s="16" t="str">
        <f>IFERROR(__xludf.DUMMYFUNCTION("""COMPUTED_VALUE"""),"X*2 Damage of your primary element Where X is equal to your attack.")</f>
        <v>X*2 Damage of your primary element Where X is equal to your attack.</v>
      </c>
      <c r="F222" s="16" t="str">
        <f>IFERROR(__xludf.DUMMYFUNCTION("""COMPUTED_VALUE"""),"Natural/Hit or Miss")</f>
        <v>Natural/Hit or Miss</v>
      </c>
      <c r="G222" s="16">
        <f>IFERROR(__xludf.DUMMYFUNCTION("""COMPUTED_VALUE"""),1.0)</f>
        <v>1</v>
      </c>
      <c r="H222" s="16" t="str">
        <f>IFERROR(__xludf.DUMMYFUNCTION("""COMPUTED_VALUE"""),"Physical")</f>
        <v>Physical</v>
      </c>
    </row>
    <row r="223">
      <c r="A223" s="16" t="str">
        <f>IFERROR(__xludf.DUMMYFUNCTION("""COMPUTED_VALUE"""),"Take")</f>
        <v>Take</v>
      </c>
      <c r="B223" s="16">
        <f>IFERROR(__xludf.DUMMYFUNCTION("""COMPUTED_VALUE"""),1.0)</f>
        <v>1</v>
      </c>
      <c r="C223" s="16">
        <f>IFERROR(__xludf.DUMMYFUNCTION("""COMPUTED_VALUE"""),0.0)</f>
        <v>0</v>
      </c>
      <c r="D223" s="16"/>
      <c r="E22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23" s="16" t="str">
        <f>IFERROR(__xludf.DUMMYFUNCTION("""COMPUTED_VALUE"""),"Natural/Fail or Succeed")</f>
        <v>Natural/Fail or Succeed</v>
      </c>
      <c r="G223" s="16">
        <f>IFERROR(__xludf.DUMMYFUNCTION("""COMPUTED_VALUE"""),1.0)</f>
        <v>1</v>
      </c>
      <c r="H223" s="16" t="str">
        <f>IFERROR(__xludf.DUMMYFUNCTION("""COMPUTED_VALUE"""),"Physical")</f>
        <v>Physical</v>
      </c>
    </row>
    <row r="224">
      <c r="A224" s="16" t="str">
        <f>IFERROR(__xludf.DUMMYFUNCTION("""COMPUTED_VALUE"""),"Taunt")</f>
        <v>Taunt</v>
      </c>
      <c r="B224" s="16">
        <f>IFERROR(__xludf.DUMMYFUNCTION("""COMPUTED_VALUE"""),1.0)</f>
        <v>1</v>
      </c>
      <c r="C224" s="16">
        <f>IFERROR(__xludf.DUMMYFUNCTION("""COMPUTED_VALUE"""),0.0)</f>
        <v>0</v>
      </c>
      <c r="D224" s="16"/>
      <c r="E22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24" s="16" t="str">
        <f>IFERROR(__xludf.DUMMYFUNCTION("""COMPUTED_VALUE"""),"Natural/Fail or succeed")</f>
        <v>Natural/Fail or succeed</v>
      </c>
      <c r="G224" s="16">
        <f>IFERROR(__xludf.DUMMYFUNCTION("""COMPUTED_VALUE"""),1.0)</f>
        <v>1</v>
      </c>
      <c r="H224" s="16" t="str">
        <f>IFERROR(__xludf.DUMMYFUNCTION("""COMPUTED_VALUE"""),"Physical")</f>
        <v>Physical</v>
      </c>
    </row>
    <row r="225">
      <c r="A225" s="16" t="str">
        <f>IFERROR(__xludf.DUMMYFUNCTION("""COMPUTED_VALUE"""),"Tower Of Balance I")</f>
        <v>Tower Of Balance 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25" s="16" t="str">
        <f>IFERROR(__xludf.DUMMYFUNCTION("""COMPUTED_VALUE"""),"Fail/Succeed")</f>
        <v>Fail/Succeed</v>
      </c>
      <c r="G225" s="16"/>
      <c r="H225" s="16" t="str">
        <f>IFERROR(__xludf.DUMMYFUNCTION("""COMPUTED_VALUE"""),"Physical")</f>
        <v>Physical</v>
      </c>
    </row>
    <row r="226">
      <c r="A226" s="16" t="str">
        <f>IFERROR(__xludf.DUMMYFUNCTION("""COMPUTED_VALUE"""),"[Element] Shot")</f>
        <v>[Element] Shot</v>
      </c>
      <c r="B226" s="16">
        <f>IFERROR(__xludf.DUMMYFUNCTION("""COMPUTED_VALUE"""),4.0)</f>
        <v>4</v>
      </c>
      <c r="C226" s="16">
        <f>IFERROR(__xludf.DUMMYFUNCTION("""COMPUTED_VALUE"""),40.0)</f>
        <v>40</v>
      </c>
      <c r="D226" s="16"/>
      <c r="E22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26" s="16" t="str">
        <f>IFERROR(__xludf.DUMMYFUNCTION("""COMPUTED_VALUE"""),"Fail/succeed")</f>
        <v>Fail/succeed</v>
      </c>
      <c r="G226" s="16"/>
      <c r="H226" s="16" t="str">
        <f>IFERROR(__xludf.DUMMYFUNCTION("""COMPUTED_VALUE"""),"Ranged")</f>
        <v>Ranged</v>
      </c>
    </row>
    <row r="227">
      <c r="A227" s="16" t="str">
        <f>IFERROR(__xludf.DUMMYFUNCTION("""COMPUTED_VALUE"""),"Accuracy Boost")</f>
        <v>Accuracy Boost</v>
      </c>
      <c r="B227" s="16">
        <f>IFERROR(__xludf.DUMMYFUNCTION("""COMPUTED_VALUE"""),6.0)</f>
        <v>6</v>
      </c>
      <c r="C227" s="16">
        <f>IFERROR(__xludf.DUMMYFUNCTION("""COMPUTED_VALUE"""),60.0)</f>
        <v>60</v>
      </c>
      <c r="D227" s="16"/>
      <c r="E227" s="16" t="str">
        <f>IFERROR(__xludf.DUMMYFUNCTION("""COMPUTED_VALUE"""),"Raise accuracy by X2 for 3 rounds (1 use)")</f>
        <v>Raise accuracy by X2 for 3 rounds (1 use)</v>
      </c>
      <c r="F227" s="16" t="str">
        <f>IFERROR(__xludf.DUMMYFUNCTION("""COMPUTED_VALUE"""),"Will Succeed")</f>
        <v>Will Succeed</v>
      </c>
      <c r="G227" s="16"/>
      <c r="H227" s="16" t="str">
        <f>IFERROR(__xludf.DUMMYFUNCTION("""COMPUTED_VALUE"""),"Ranged")</f>
        <v>Ranged</v>
      </c>
    </row>
    <row r="228">
      <c r="A228" s="16" t="str">
        <f>IFERROR(__xludf.DUMMYFUNCTION("""COMPUTED_VALUE"""),"Archer’s Wrath")</f>
        <v>Archer’s Wrath</v>
      </c>
      <c r="B228" s="16">
        <f>IFERROR(__xludf.DUMMYFUNCTION("""COMPUTED_VALUE"""),5.0)</f>
        <v>5</v>
      </c>
      <c r="C228" s="16" t="str">
        <f>IFERROR(__xludf.DUMMYFUNCTION("""COMPUTED_VALUE"""),"X")</f>
        <v>X</v>
      </c>
      <c r="D228" s="16"/>
      <c r="E228" s="16" t="str">
        <f>IFERROR(__xludf.DUMMYFUNCTION("""COMPUTED_VALUE"""),"Roll a D20 for additional accuracy, times it by the amount of mana you pay.")</f>
        <v>Roll a D20 for additional accuracy, times it by the amount of mana you pay.</v>
      </c>
      <c r="F228" s="16" t="str">
        <f>IFERROR(__xludf.DUMMYFUNCTION("""COMPUTED_VALUE"""),"Will Succeed")</f>
        <v>Will Succeed</v>
      </c>
      <c r="G228" s="16"/>
      <c r="H228" s="16" t="str">
        <f>IFERROR(__xludf.DUMMYFUNCTION("""COMPUTED_VALUE"""),"Ranged")</f>
        <v>Ranged</v>
      </c>
    </row>
    <row r="229">
      <c r="A229" s="16" t="str">
        <f>IFERROR(__xludf.DUMMYFUNCTION("""COMPUTED_VALUE"""),"Bullseye")</f>
        <v>Bullseye</v>
      </c>
      <c r="B229" s="16">
        <f>IFERROR(__xludf.DUMMYFUNCTION("""COMPUTED_VALUE"""),9.0)</f>
        <v>9</v>
      </c>
      <c r="C229" s="16">
        <f>IFERROR(__xludf.DUMMYFUNCTION("""COMPUTED_VALUE"""),300.0)</f>
        <v>300</v>
      </c>
      <c r="D229" s="16"/>
      <c r="E22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29" s="16" t="str">
        <f>IFERROR(__xludf.DUMMYFUNCTION("""COMPUTED_VALUE"""),"Fail/succeed")</f>
        <v>Fail/succeed</v>
      </c>
      <c r="G229" s="16"/>
      <c r="H229" s="16" t="str">
        <f>IFERROR(__xludf.DUMMYFUNCTION("""COMPUTED_VALUE"""),"Ranged")</f>
        <v>Ranged</v>
      </c>
    </row>
    <row r="230">
      <c r="A230" s="16" t="str">
        <f>IFERROR(__xludf.DUMMYFUNCTION("""COMPUTED_VALUE"""),"Cannon Bombardment")</f>
        <v>Cannon Bombardment</v>
      </c>
      <c r="B230" s="16">
        <f>IFERROR(__xludf.DUMMYFUNCTION("""COMPUTED_VALUE"""),1.0)</f>
        <v>1</v>
      </c>
      <c r="C230" s="16">
        <f>IFERROR(__xludf.DUMMYFUNCTION("""COMPUTED_VALUE"""),0.0)</f>
        <v>0</v>
      </c>
      <c r="D230" s="16"/>
      <c r="E23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30" s="16" t="str">
        <f>IFERROR(__xludf.DUMMYFUNCTION("""COMPUTED_VALUE"""),"Natural/Fail or Succeed")</f>
        <v>Natural/Fail or Succeed</v>
      </c>
      <c r="G230" s="16" t="str">
        <f>IFERROR(__xludf.DUMMYFUNCTION("""COMPUTED_VALUE"""),"All")</f>
        <v>All</v>
      </c>
      <c r="H230" s="16" t="str">
        <f>IFERROR(__xludf.DUMMYFUNCTION("""COMPUTED_VALUE"""),"Ranged")</f>
        <v>Ranged</v>
      </c>
    </row>
    <row r="231">
      <c r="A231" s="16" t="str">
        <f>IFERROR(__xludf.DUMMYFUNCTION("""COMPUTED_VALUE"""),"Good shot")</f>
        <v>Good shot</v>
      </c>
      <c r="B231" s="16">
        <f>IFERROR(__xludf.DUMMYFUNCTION("""COMPUTED_VALUE"""),1.0)</f>
        <v>1</v>
      </c>
      <c r="C231" s="16">
        <f>IFERROR(__xludf.DUMMYFUNCTION("""COMPUTED_VALUE"""),10.0)</f>
        <v>10</v>
      </c>
      <c r="D231" s="16"/>
      <c r="E231" s="16" t="str">
        <f>IFERROR(__xludf.DUMMYFUNCTION("""COMPUTED_VALUE"""),"Roll for a ranged attack twice take the higher")</f>
        <v>Roll for a ranged attack twice take the higher</v>
      </c>
      <c r="F231" s="16" t="str">
        <f>IFERROR(__xludf.DUMMYFUNCTION("""COMPUTED_VALUE"""),"Will Succeed")</f>
        <v>Will Succeed</v>
      </c>
      <c r="G231" s="16" t="str">
        <f>IFERROR(__xludf.DUMMYFUNCTION("""COMPUTED_VALUE"""),"Self")</f>
        <v>Self</v>
      </c>
      <c r="H231" s="16" t="str">
        <f>IFERROR(__xludf.DUMMYFUNCTION("""COMPUTED_VALUE"""),"Ranged")</f>
        <v>Ranged</v>
      </c>
    </row>
    <row r="232">
      <c r="A232" s="16" t="str">
        <f>IFERROR(__xludf.DUMMYFUNCTION("""COMPUTED_VALUE"""),"Lock On")</f>
        <v>Lock On</v>
      </c>
      <c r="B232" s="16">
        <f>IFERROR(__xludf.DUMMYFUNCTION("""COMPUTED_VALUE"""),7.0)</f>
        <v>7</v>
      </c>
      <c r="C232" s="16">
        <f>IFERROR(__xludf.DUMMYFUNCTION("""COMPUTED_VALUE"""),100.0)</f>
        <v>100</v>
      </c>
      <c r="D232" s="16"/>
      <c r="E232" s="16" t="str">
        <f>IFERROR(__xludf.DUMMYFUNCTION("""COMPUTED_VALUE"""),"Target cannot evade for 3 rounds.")</f>
        <v>Target cannot evade for 3 rounds.</v>
      </c>
      <c r="F232" s="16" t="str">
        <f>IFERROR(__xludf.DUMMYFUNCTION("""COMPUTED_VALUE"""),"Fail/succeed")</f>
        <v>Fail/succeed</v>
      </c>
      <c r="G232" s="16"/>
      <c r="H232" s="16" t="str">
        <f>IFERROR(__xludf.DUMMYFUNCTION("""COMPUTED_VALUE"""),"Ranged")</f>
        <v>Ranged</v>
      </c>
    </row>
    <row r="233">
      <c r="A233" s="16" t="str">
        <f>IFERROR(__xludf.DUMMYFUNCTION("""COMPUTED_VALUE"""),"Multishot")</f>
        <v>Multishot</v>
      </c>
      <c r="B233" s="16">
        <f>IFERROR(__xludf.DUMMYFUNCTION("""COMPUTED_VALUE"""),9.0)</f>
        <v>9</v>
      </c>
      <c r="C233" s="16" t="str">
        <f>IFERROR(__xludf.DUMMYFUNCTION("""COMPUTED_VALUE"""),"X*300")</f>
        <v>X*300</v>
      </c>
      <c r="D233" s="16"/>
      <c r="E233" s="16" t="str">
        <f>IFERROR(__xludf.DUMMYFUNCTION("""COMPUTED_VALUE"""),"Multiples the damage of the next attack by X. X= SP you pay for X Cost.")</f>
        <v>Multiples the damage of the next attack by X. X= SP you pay for X Cost.</v>
      </c>
      <c r="F233" s="16" t="str">
        <f>IFERROR(__xludf.DUMMYFUNCTION("""COMPUTED_VALUE"""),"Fail/succeed")</f>
        <v>Fail/succeed</v>
      </c>
      <c r="G233" s="16"/>
      <c r="H233" s="16" t="str">
        <f>IFERROR(__xludf.DUMMYFUNCTION("""COMPUTED_VALUE"""),"Ranged")</f>
        <v>Ranged</v>
      </c>
    </row>
    <row r="234">
      <c r="A234" s="16" t="str">
        <f>IFERROR(__xludf.DUMMYFUNCTION("""COMPUTED_VALUE"""),"Pinning shot")</f>
        <v>Pinning shot</v>
      </c>
      <c r="B234" s="16">
        <f>IFERROR(__xludf.DUMMYFUNCTION("""COMPUTED_VALUE"""),3.0)</f>
        <v>3</v>
      </c>
      <c r="C234" s="16">
        <f>IFERROR(__xludf.DUMMYFUNCTION("""COMPUTED_VALUE"""),30.0)</f>
        <v>30</v>
      </c>
      <c r="D234" s="16"/>
      <c r="E234" s="16" t="str">
        <f>IFERROR(__xludf.DUMMYFUNCTION("""COMPUTED_VALUE"""),"The target is immobilized until the end of its next turn.")</f>
        <v>The target is immobilized until the end of its next turn.</v>
      </c>
      <c r="F234" s="16" t="str">
        <f>IFERROR(__xludf.DUMMYFUNCTION("""COMPUTED_VALUE"""),"Fail/succeed")</f>
        <v>Fail/succeed</v>
      </c>
      <c r="G234" s="16"/>
      <c r="H234" s="16" t="str">
        <f>IFERROR(__xludf.DUMMYFUNCTION("""COMPUTED_VALUE"""),"Ranged")</f>
        <v>Ranged</v>
      </c>
    </row>
    <row r="235">
      <c r="A235" s="16" t="str">
        <f>IFERROR(__xludf.DUMMYFUNCTION("""COMPUTED_VALUE"""),"Tower Of Balance III")</f>
        <v>Tower Of Balance III</v>
      </c>
      <c r="B235" s="16">
        <f>IFERROR(__xludf.DUMMYFUNCTION("""COMPUTED_VALUE"""),8.0)</f>
        <v>8</v>
      </c>
      <c r="C235" s="16">
        <f>IFERROR(__xludf.DUMMYFUNCTION("""COMPUTED_VALUE"""),200.0)</f>
        <v>200</v>
      </c>
      <c r="D235" s="16"/>
      <c r="E23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35" s="16" t="str">
        <f>IFERROR(__xludf.DUMMYFUNCTION("""COMPUTED_VALUE"""),"Will Succeed")</f>
        <v>Will Succeed</v>
      </c>
      <c r="G235" s="16"/>
      <c r="H235" s="16" t="str">
        <f>IFERROR(__xludf.DUMMYFUNCTION("""COMPUTED_VALUE"""),"Ranged")</f>
        <v>Ranged</v>
      </c>
    </row>
    <row r="236">
      <c r="A236" s="16" t="str">
        <f>IFERROR(__xludf.DUMMYFUNCTION("""COMPUTED_VALUE"""),"A Deal With The Spirit World")</f>
        <v>A Deal With The Spirit World</v>
      </c>
      <c r="B236" s="16">
        <f>IFERROR(__xludf.DUMMYFUNCTION("""COMPUTED_VALUE"""),7.0)</f>
        <v>7</v>
      </c>
      <c r="C236" s="16"/>
      <c r="D236" s="16" t="str">
        <f>IFERROR(__xludf.DUMMYFUNCTION("""COMPUTED_VALUE"""),"X")</f>
        <v>X</v>
      </c>
      <c r="E236" s="16" t="str">
        <f>IFERROR(__xludf.DUMMYFUNCTION("""COMPUTED_VALUE"""),"Deal X unblockable damage to self to drain X*100 SP from target.")</f>
        <v>Deal X unblockable damage to self to drain X*100 SP from target.</v>
      </c>
      <c r="F236" s="16" t="str">
        <f>IFERROR(__xludf.DUMMYFUNCTION("""COMPUTED_VALUE"""),"Fail/Succeed")</f>
        <v>Fail/Succeed</v>
      </c>
      <c r="G236" s="16"/>
      <c r="H236" s="16" t="str">
        <f>IFERROR(__xludf.DUMMYFUNCTION("""COMPUTED_VALUE"""),"Spirit")</f>
        <v>Spirit</v>
      </c>
    </row>
    <row r="237">
      <c r="A237" s="16" t="str">
        <f>IFERROR(__xludf.DUMMYFUNCTION("""COMPUTED_VALUE"""),"Burning Dread")</f>
        <v>Burning Dread</v>
      </c>
      <c r="B237" s="16">
        <f>IFERROR(__xludf.DUMMYFUNCTION("""COMPUTED_VALUE"""),6.0)</f>
        <v>6</v>
      </c>
      <c r="C237" s="16" t="str">
        <f>IFERROR(__xludf.DUMMYFUNCTION("""COMPUTED_VALUE"""),"X")</f>
        <v>X</v>
      </c>
      <c r="D237" s="16"/>
      <c r="E237" s="16" t="str">
        <f>IFERROR(__xludf.DUMMYFUNCTION("""COMPUTED_VALUE"""),"Deals X*10 Spirit damage per round to all enemies for 3 rounds where X is equal to SP spent.")</f>
        <v>Deals X*10 Spirit damage per round to all enemies for 3 rounds where X is equal to SP spent.</v>
      </c>
      <c r="F237" s="16" t="str">
        <f>IFERROR(__xludf.DUMMYFUNCTION("""COMPUTED_VALUE"""),"Cannot Avoid")</f>
        <v>Cannot Avoid</v>
      </c>
      <c r="G237" s="16" t="str">
        <f>IFERROR(__xludf.DUMMYFUNCTION("""COMPUTED_VALUE"""),"All")</f>
        <v>All</v>
      </c>
      <c r="H237" s="16" t="str">
        <f>IFERROR(__xludf.DUMMYFUNCTION("""COMPUTED_VALUE"""),"Spirit")</f>
        <v>Spirit</v>
      </c>
    </row>
    <row r="238">
      <c r="A238" s="16" t="str">
        <f>IFERROR(__xludf.DUMMYFUNCTION("""COMPUTED_VALUE"""),"Confuse")</f>
        <v>Confuse</v>
      </c>
      <c r="B238" s="16">
        <f>IFERROR(__xludf.DUMMYFUNCTION("""COMPUTED_VALUE"""),6.0)</f>
        <v>6</v>
      </c>
      <c r="C238" s="16">
        <f>IFERROR(__xludf.DUMMYFUNCTION("""COMPUTED_VALUE"""),90.0)</f>
        <v>90</v>
      </c>
      <c r="D238" s="16"/>
      <c r="E238" s="16" t="str">
        <f>IFERROR(__xludf.DUMMYFUNCTION("""COMPUTED_VALUE"""),"Makes the target incapable of performing their next action.")</f>
        <v>Makes the target incapable of performing their next action.</v>
      </c>
      <c r="F238" s="16" t="str">
        <f>IFERROR(__xludf.DUMMYFUNCTION("""COMPUTED_VALUE"""),"Fail/Succeed")</f>
        <v>Fail/Succeed</v>
      </c>
      <c r="G238" s="16"/>
      <c r="H238" s="16" t="str">
        <f>IFERROR(__xludf.DUMMYFUNCTION("""COMPUTED_VALUE"""),"Spirit")</f>
        <v>Spirit</v>
      </c>
    </row>
    <row r="239">
      <c r="A239" s="16" t="str">
        <f>IFERROR(__xludf.DUMMYFUNCTION("""COMPUTED_VALUE"""),"Degrade")</f>
        <v>Degrade</v>
      </c>
      <c r="B239" s="16">
        <f>IFERROR(__xludf.DUMMYFUNCTION("""COMPUTED_VALUE"""),1.0)</f>
        <v>1</v>
      </c>
      <c r="C239" s="16">
        <f>IFERROR(__xludf.DUMMYFUNCTION("""COMPUTED_VALUE"""),10.0)</f>
        <v>10</v>
      </c>
      <c r="D239" s="16"/>
      <c r="E239" s="16" t="str">
        <f>IFERROR(__xludf.DUMMYFUNCTION("""COMPUTED_VALUE"""),"1 Targets Max HP is reduced to 100.")</f>
        <v>1 Targets Max HP is reduced to 100.</v>
      </c>
      <c r="F239" s="16" t="str">
        <f>IFERROR(__xludf.DUMMYFUNCTION("""COMPUTED_VALUE"""),"Fail/Succeed")</f>
        <v>Fail/Succeed</v>
      </c>
      <c r="G239" s="16"/>
      <c r="H239" s="16" t="str">
        <f>IFERROR(__xludf.DUMMYFUNCTION("""COMPUTED_VALUE"""),"Spirit")</f>
        <v>Spirit</v>
      </c>
    </row>
    <row r="240">
      <c r="A240" s="16" t="str">
        <f>IFERROR(__xludf.DUMMYFUNCTION("""COMPUTED_VALUE"""),"Distant Warrior")</f>
        <v>Distant Warrior</v>
      </c>
      <c r="B240" s="16">
        <f>IFERROR(__xludf.DUMMYFUNCTION("""COMPUTED_VALUE"""),9.0)</f>
        <v>9</v>
      </c>
      <c r="C240" s="16" t="str">
        <f>IFERROR(__xludf.DUMMYFUNCTION("""COMPUTED_VALUE"""),"X*1000")</f>
        <v>X*1000</v>
      </c>
      <c r="D240" s="16"/>
      <c r="E24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40" s="16" t="str">
        <f>IFERROR(__xludf.DUMMYFUNCTION("""COMPUTED_VALUE"""),"Will Succeed")</f>
        <v>Will Succeed</v>
      </c>
      <c r="G240" s="16"/>
      <c r="H240" s="16" t="str">
        <f>IFERROR(__xludf.DUMMYFUNCTION("""COMPUTED_VALUE"""),"Spirit")</f>
        <v>Spirit</v>
      </c>
    </row>
    <row r="241">
      <c r="A241" s="16" t="str">
        <f>IFERROR(__xludf.DUMMYFUNCTION("""COMPUTED_VALUE"""),"Dread")</f>
        <v>Dread</v>
      </c>
      <c r="B241" s="16">
        <f>IFERROR(__xludf.DUMMYFUNCTION("""COMPUTED_VALUE"""),5.0)</f>
        <v>5</v>
      </c>
      <c r="C241" s="16" t="str">
        <f>IFERROR(__xludf.DUMMYFUNCTION("""COMPUTED_VALUE"""),"X")</f>
        <v>X</v>
      </c>
      <c r="D241" s="16"/>
      <c r="E241" s="16" t="str">
        <f>IFERROR(__xludf.DUMMYFUNCTION("""COMPUTED_VALUE"""),"Deals X*50 Spirit damage per round for 3 rounds to a single target where X is equal to SP spent.")</f>
        <v>Deals X*50 Spirit damage per round for 3 rounds to a single target where X is equal to SP spent.</v>
      </c>
      <c r="F241" s="16" t="str">
        <f>IFERROR(__xludf.DUMMYFUNCTION("""COMPUTED_VALUE"""),"Hit/Miss")</f>
        <v>Hit/Miss</v>
      </c>
      <c r="G241" s="16">
        <f>IFERROR(__xludf.DUMMYFUNCTION("""COMPUTED_VALUE"""),1.0)</f>
        <v>1</v>
      </c>
      <c r="H241" s="16" t="str">
        <f>IFERROR(__xludf.DUMMYFUNCTION("""COMPUTED_VALUE"""),"Spirit")</f>
        <v>Spirit</v>
      </c>
    </row>
    <row r="242">
      <c r="A242" s="16" t="str">
        <f>IFERROR(__xludf.DUMMYFUNCTION("""COMPUTED_VALUE"""),"Enthrall")</f>
        <v>Enthrall</v>
      </c>
      <c r="B242" s="16">
        <f>IFERROR(__xludf.DUMMYFUNCTION("""COMPUTED_VALUE"""),9.0)</f>
        <v>9</v>
      </c>
      <c r="C242" s="16">
        <f>IFERROR(__xludf.DUMMYFUNCTION("""COMPUTED_VALUE"""),1000.0)</f>
        <v>1000</v>
      </c>
      <c r="D242" s="16"/>
      <c r="E24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42" s="16" t="str">
        <f>IFERROR(__xludf.DUMMYFUNCTION("""COMPUTED_VALUE"""),"Fail/Succeed")</f>
        <v>Fail/Succeed</v>
      </c>
      <c r="G242" s="16"/>
      <c r="H242" s="16" t="str">
        <f>IFERROR(__xludf.DUMMYFUNCTION("""COMPUTED_VALUE"""),"Spirit")</f>
        <v>Spirit</v>
      </c>
    </row>
    <row r="243">
      <c r="A243" s="16" t="str">
        <f>IFERROR(__xludf.DUMMYFUNCTION("""COMPUTED_VALUE"""),"Final Blast")</f>
        <v>Final Blast</v>
      </c>
      <c r="B243" s="16">
        <f>IFERROR(__xludf.DUMMYFUNCTION("""COMPUTED_VALUE"""),6.0)</f>
        <v>6</v>
      </c>
      <c r="C243" s="16" t="str">
        <f>IFERROR(__xludf.DUMMYFUNCTION("""COMPUTED_VALUE"""),"Current SP")</f>
        <v>Current SP</v>
      </c>
      <c r="D243" s="16"/>
      <c r="E243" s="16" t="str">
        <f>IFERROR(__xludf.DUMMYFUNCTION("""COMPUTED_VALUE"""),"Deal Current SP *10 damage to all enemies.")</f>
        <v>Deal Current SP *10 damage to all enemies.</v>
      </c>
      <c r="F243" s="16" t="str">
        <f>IFERROR(__xludf.DUMMYFUNCTION("""COMPUTED_VALUE"""),"Canot Avoid")</f>
        <v>Canot Avoid</v>
      </c>
      <c r="G243" s="16">
        <f>IFERROR(__xludf.DUMMYFUNCTION("""COMPUTED_VALUE"""),1.0)</f>
        <v>1</v>
      </c>
      <c r="H243" s="16" t="str">
        <f>IFERROR(__xludf.DUMMYFUNCTION("""COMPUTED_VALUE"""),"Spirit")</f>
        <v>Spirit</v>
      </c>
    </row>
    <row r="244">
      <c r="A244" s="16" t="str">
        <f>IFERROR(__xludf.DUMMYFUNCTION("""COMPUTED_VALUE"""),"Final Rest")</f>
        <v>Final Rest</v>
      </c>
      <c r="B244" s="16">
        <f>IFERROR(__xludf.DUMMYFUNCTION("""COMPUTED_VALUE"""),6.0)</f>
        <v>6</v>
      </c>
      <c r="C244" s="16">
        <f>IFERROR(__xludf.DUMMYFUNCTION("""COMPUTED_VALUE"""),90.0)</f>
        <v>90</v>
      </c>
      <c r="D244" s="16"/>
      <c r="E244" s="16" t="str">
        <f>IFERROR(__xludf.DUMMYFUNCTION("""COMPUTED_VALUE"""),"25% chance of instantly banishing any target, 20% chance to banish self.")</f>
        <v>25% chance of instantly banishing any target, 20% chance to banish self.</v>
      </c>
      <c r="F244" s="16" t="str">
        <f>IFERROR(__xludf.DUMMYFUNCTION("""COMPUTED_VALUE"""),"Fail/Succeed")</f>
        <v>Fail/Succeed</v>
      </c>
      <c r="G244" s="16"/>
      <c r="H244" s="16" t="str">
        <f>IFERROR(__xludf.DUMMYFUNCTION("""COMPUTED_VALUE"""),"Spirit")</f>
        <v>Spirit</v>
      </c>
    </row>
    <row r="245">
      <c r="A245" s="16" t="str">
        <f>IFERROR(__xludf.DUMMYFUNCTION("""COMPUTED_VALUE"""),"Gain Soul")</f>
        <v>Gain Soul</v>
      </c>
      <c r="B245" s="16">
        <f>IFERROR(__xludf.DUMMYFUNCTION("""COMPUTED_VALUE"""),6.0)</f>
        <v>6</v>
      </c>
      <c r="C245" s="16">
        <f>IFERROR(__xludf.DUMMYFUNCTION("""COMPUTED_VALUE"""),90.0)</f>
        <v>90</v>
      </c>
      <c r="D245" s="16"/>
      <c r="E245" s="16" t="str">
        <f>IFERROR(__xludf.DUMMYFUNCTION("""COMPUTED_VALUE"""),"Undoes Lost Soul. If Lost Soul hasn’t been casted, then doubles the effects of the next two spells.")</f>
        <v>Undoes Lost Soul. If Lost Soul hasn’t been casted, then doubles the effects of the next two spells.</v>
      </c>
      <c r="F245" s="16" t="str">
        <f>IFERROR(__xludf.DUMMYFUNCTION("""COMPUTED_VALUE"""),"Will Succeed")</f>
        <v>Will Succeed</v>
      </c>
      <c r="G245" s="16"/>
      <c r="H245" s="16" t="str">
        <f>IFERROR(__xludf.DUMMYFUNCTION("""COMPUTED_VALUE"""),"Spirit")</f>
        <v>Spirit</v>
      </c>
    </row>
    <row r="246">
      <c r="A246" s="16" t="str">
        <f>IFERROR(__xludf.DUMMYFUNCTION("""COMPUTED_VALUE"""),"HP Recover")</f>
        <v>HP Recover</v>
      </c>
      <c r="B246" s="16">
        <f>IFERROR(__xludf.DUMMYFUNCTION("""COMPUTED_VALUE"""),1.0)</f>
        <v>1</v>
      </c>
      <c r="C246" s="16">
        <f>IFERROR(__xludf.DUMMYFUNCTION("""COMPUTED_VALUE"""),0.0)</f>
        <v>0</v>
      </c>
      <c r="D246" s="16"/>
      <c r="E246" s="16" t="str">
        <f>IFERROR(__xludf.DUMMYFUNCTION("""COMPUTED_VALUE"""),"Regain 5000 HP. Can only be used three times per character per session.")</f>
        <v>Regain 5000 HP. Can only be used three times per character per session.</v>
      </c>
      <c r="F246" s="16" t="str">
        <f>IFERROR(__xludf.DUMMYFUNCTION("""COMPUTED_VALUE"""),"Natural/Will Succeed")</f>
        <v>Natural/Will Succeed</v>
      </c>
      <c r="G246" s="16"/>
      <c r="H246" s="16" t="str">
        <f>IFERROR(__xludf.DUMMYFUNCTION("""COMPUTED_VALUE"""),"Spirit")</f>
        <v>Spirit</v>
      </c>
    </row>
    <row r="247">
      <c r="A247" s="16" t="str">
        <f>IFERROR(__xludf.DUMMYFUNCTION("""COMPUTED_VALUE"""),"Incorporeal Form")</f>
        <v>Incorporeal Form</v>
      </c>
      <c r="B247" s="16">
        <f>IFERROR(__xludf.DUMMYFUNCTION("""COMPUTED_VALUE"""),9.0)</f>
        <v>9</v>
      </c>
      <c r="C247" s="16">
        <f>IFERROR(__xludf.DUMMYFUNCTION("""COMPUTED_VALUE"""),500.0)</f>
        <v>500</v>
      </c>
      <c r="D247" s="16"/>
      <c r="E247" s="16" t="str">
        <f>IFERROR(__xludf.DUMMYFUNCTION("""COMPUTED_VALUE"""),"Grants Incorporeal 3 to self Can only be cast once every 6 rounds.")</f>
        <v>Grants Incorporeal 3 to self Can only be cast once every 6 rounds.</v>
      </c>
      <c r="F247" s="16" t="str">
        <f>IFERROR(__xludf.DUMMYFUNCTION("""COMPUTED_VALUE"""),"Fail/Succeed")</f>
        <v>Fail/Succeed</v>
      </c>
      <c r="G247" s="16" t="str">
        <f>IFERROR(__xludf.DUMMYFUNCTION("""COMPUTED_VALUE"""),"Self")</f>
        <v>Self</v>
      </c>
      <c r="H247" s="16" t="str">
        <f>IFERROR(__xludf.DUMMYFUNCTION("""COMPUTED_VALUE"""),"Spirit")</f>
        <v>Spirit</v>
      </c>
    </row>
    <row r="248">
      <c r="A248" s="16" t="str">
        <f>IFERROR(__xludf.DUMMYFUNCTION("""COMPUTED_VALUE"""),"Lost Soul")</f>
        <v>Lost Soul</v>
      </c>
      <c r="B248" s="16">
        <f>IFERROR(__xludf.DUMMYFUNCTION("""COMPUTED_VALUE"""),6.0)</f>
        <v>6</v>
      </c>
      <c r="C248" s="16">
        <f>IFERROR(__xludf.DUMMYFUNCTION("""COMPUTED_VALUE"""),90.0)</f>
        <v>90</v>
      </c>
      <c r="D248" s="16"/>
      <c r="E24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48" s="16" t="str">
        <f>IFERROR(__xludf.DUMMYFUNCTION("""COMPUTED_VALUE"""),"Will Succeed")</f>
        <v>Will Succeed</v>
      </c>
      <c r="G248" s="16"/>
      <c r="H248" s="16" t="str">
        <f>IFERROR(__xludf.DUMMYFUNCTION("""COMPUTED_VALUE"""),"Spirit")</f>
        <v>Spirit</v>
      </c>
    </row>
    <row r="249">
      <c r="A249" s="16" t="str">
        <f>IFERROR(__xludf.DUMMYFUNCTION("""COMPUTED_VALUE"""),"Negative Energy")</f>
        <v>Negative Energy</v>
      </c>
      <c r="B249" s="16">
        <f>IFERROR(__xludf.DUMMYFUNCTION("""COMPUTED_VALUE"""),5.0)</f>
        <v>5</v>
      </c>
      <c r="C249" s="16">
        <f>IFERROR(__xludf.DUMMYFUNCTION("""COMPUTED_VALUE"""),50.0)</f>
        <v>50</v>
      </c>
      <c r="D249" s="16"/>
      <c r="E249" s="16" t="str">
        <f>IFERROR(__xludf.DUMMYFUNCTION("""COMPUTED_VALUE"""),"Target halfs the damage from their next attack.")</f>
        <v>Target halfs the damage from their next attack.</v>
      </c>
      <c r="F249" s="16" t="str">
        <f>IFERROR(__xludf.DUMMYFUNCTION("""COMPUTED_VALUE"""),"Fail/succeed")</f>
        <v>Fail/succeed</v>
      </c>
      <c r="G249" s="16"/>
      <c r="H249" s="16" t="str">
        <f>IFERROR(__xludf.DUMMYFUNCTION("""COMPUTED_VALUE"""),"Spirit")</f>
        <v>Spirit</v>
      </c>
    </row>
    <row r="250">
      <c r="A250" s="16" t="str">
        <f>IFERROR(__xludf.DUMMYFUNCTION("""COMPUTED_VALUE"""),"Positive Energy")</f>
        <v>Positive Energy</v>
      </c>
      <c r="B250" s="16">
        <f>IFERROR(__xludf.DUMMYFUNCTION("""COMPUTED_VALUE"""),5.0)</f>
        <v>5</v>
      </c>
      <c r="C250" s="16">
        <f>IFERROR(__xludf.DUMMYFUNCTION("""COMPUTED_VALUE"""),50.0)</f>
        <v>50</v>
      </c>
      <c r="D250" s="16"/>
      <c r="E250" s="16" t="str">
        <f>IFERROR(__xludf.DUMMYFUNCTION("""COMPUTED_VALUE"""),"X2 additional spirit damage for caster only.")</f>
        <v>X2 additional spirit damage for caster only.</v>
      </c>
      <c r="F250" s="16" t="str">
        <f>IFERROR(__xludf.DUMMYFUNCTION("""COMPUTED_VALUE"""),"Fail/Succeed")</f>
        <v>Fail/Succeed</v>
      </c>
      <c r="G250" s="16"/>
      <c r="H250" s="16" t="str">
        <f>IFERROR(__xludf.DUMMYFUNCTION("""COMPUTED_VALUE"""),"Spirit")</f>
        <v>Spirit</v>
      </c>
    </row>
    <row r="251">
      <c r="A251" s="16" t="str">
        <f>IFERROR(__xludf.DUMMYFUNCTION("""COMPUTED_VALUE"""),"Possession")</f>
        <v>Possession</v>
      </c>
      <c r="B251" s="16">
        <f>IFERROR(__xludf.DUMMYFUNCTION("""COMPUTED_VALUE"""),6.0)</f>
        <v>6</v>
      </c>
      <c r="C251" s="16">
        <f>IFERROR(__xludf.DUMMYFUNCTION("""COMPUTED_VALUE"""),90.0)</f>
        <v>90</v>
      </c>
      <c r="D251" s="16"/>
      <c r="E251" s="16" t="str">
        <f>IFERROR(__xludf.DUMMYFUNCTION("""COMPUTED_VALUE"""),"Possess one target, making them under your control until they are killed or banished. Cannot be canceled.")</f>
        <v>Possess one target, making them under your control until they are killed or banished. Cannot be canceled.</v>
      </c>
      <c r="F251" s="16" t="str">
        <f>IFERROR(__xludf.DUMMYFUNCTION("""COMPUTED_VALUE"""),"Fail/Succeed")</f>
        <v>Fail/Succeed</v>
      </c>
      <c r="G251" s="16"/>
      <c r="H251" s="16" t="str">
        <f>IFERROR(__xludf.DUMMYFUNCTION("""COMPUTED_VALUE"""),"Spirit")</f>
        <v>Spirit</v>
      </c>
    </row>
    <row r="252">
      <c r="A252" s="16" t="str">
        <f>IFERROR(__xludf.DUMMYFUNCTION("""COMPUTED_VALUE"""),"Rain of Souls")</f>
        <v>Rain of Souls</v>
      </c>
      <c r="B252" s="16">
        <f>IFERROR(__xludf.DUMMYFUNCTION("""COMPUTED_VALUE"""),9.0)</f>
        <v>9</v>
      </c>
      <c r="C252" s="16">
        <f>IFERROR(__xludf.DUMMYFUNCTION("""COMPUTED_VALUE"""),300.0)</f>
        <v>300</v>
      </c>
      <c r="D252" s="16"/>
      <c r="E252" s="16" t="str">
        <f>IFERROR(__xludf.DUMMYFUNCTION("""COMPUTED_VALUE"""),"Release X amount of souls to regain X*100 SP for self and allies.")</f>
        <v>Release X amount of souls to regain X*100 SP for self and allies.</v>
      </c>
      <c r="F252" s="16" t="str">
        <f>IFERROR(__xludf.DUMMYFUNCTION("""COMPUTED_VALUE"""),"Will Succeed")</f>
        <v>Will Succeed</v>
      </c>
      <c r="G252" s="16"/>
      <c r="H252" s="16" t="str">
        <f>IFERROR(__xludf.DUMMYFUNCTION("""COMPUTED_VALUE"""),"Spirit")</f>
        <v>Spirit</v>
      </c>
    </row>
    <row r="253">
      <c r="A253" s="16" t="str">
        <f>IFERROR(__xludf.DUMMYFUNCTION("""COMPUTED_VALUE"""),"Soul Absorption")</f>
        <v>Soul Absorption</v>
      </c>
      <c r="B253" s="16">
        <f>IFERROR(__xludf.DUMMYFUNCTION("""COMPUTED_VALUE"""),8.0)</f>
        <v>8</v>
      </c>
      <c r="C253" s="16">
        <f>IFERROR(__xludf.DUMMYFUNCTION("""COMPUTED_VALUE"""),200.0)</f>
        <v>200</v>
      </c>
      <c r="D253" s="16"/>
      <c r="E25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53" s="16" t="str">
        <f>IFERROR(__xludf.DUMMYFUNCTION("""COMPUTED_VALUE"""),"Fail/succeed")</f>
        <v>Fail/succeed</v>
      </c>
      <c r="G253" s="16"/>
      <c r="H253" s="16" t="str">
        <f>IFERROR(__xludf.DUMMYFUNCTION("""COMPUTED_VALUE"""),"Spirit")</f>
        <v>Spirit</v>
      </c>
    </row>
    <row r="254">
      <c r="A254" s="16" t="str">
        <f>IFERROR(__xludf.DUMMYFUNCTION("""COMPUTED_VALUE"""),"Soul Rend")</f>
        <v>Soul Rend</v>
      </c>
      <c r="B254" s="16">
        <f>IFERROR(__xludf.DUMMYFUNCTION("""COMPUTED_VALUE"""),5.0)</f>
        <v>5</v>
      </c>
      <c r="C254" s="16">
        <f>IFERROR(__xludf.DUMMYFUNCTION("""COMPUTED_VALUE"""),200.0)</f>
        <v>200</v>
      </c>
      <c r="D254" s="16"/>
      <c r="E254" s="16" t="str">
        <f>IFERROR(__xludf.DUMMYFUNCTION("""COMPUTED_VALUE"""),"Deal 2000 unblockable spirit damage and inflict the enemy with 10 Soulburn")</f>
        <v>Deal 2000 unblockable spirit damage and inflict the enemy with 10 Soulburn</v>
      </c>
      <c r="F254" s="16" t="str">
        <f>IFERROR(__xludf.DUMMYFUNCTION("""COMPUTED_VALUE"""),"Hit or MIss")</f>
        <v>Hit or MIss</v>
      </c>
      <c r="G254" s="16">
        <f>IFERROR(__xludf.DUMMYFUNCTION("""COMPUTED_VALUE"""),1.0)</f>
        <v>1</v>
      </c>
      <c r="H254" s="16" t="str">
        <f>IFERROR(__xludf.DUMMYFUNCTION("""COMPUTED_VALUE"""),"Spirit")</f>
        <v>Spirit</v>
      </c>
    </row>
    <row r="255">
      <c r="A255" s="16" t="str">
        <f>IFERROR(__xludf.DUMMYFUNCTION("""COMPUTED_VALUE"""),"Soul Shot")</f>
        <v>Soul Shot</v>
      </c>
      <c r="B255" s="16">
        <f>IFERROR(__xludf.DUMMYFUNCTION("""COMPUTED_VALUE"""),1.0)</f>
        <v>1</v>
      </c>
      <c r="C255" s="16" t="str">
        <f>IFERROR(__xludf.DUMMYFUNCTION("""COMPUTED_VALUE"""),"X")</f>
        <v>X</v>
      </c>
      <c r="D255" s="16"/>
      <c r="E255" s="16" t="str">
        <f>IFERROR(__xludf.DUMMYFUNCTION("""COMPUTED_VALUE"""),"Deals X*100 Undefendable Spirit damage to a single enemy where X is equal to SP spent.")</f>
        <v>Deals X*100 Undefendable Spirit damage to a single enemy where X is equal to SP spent.</v>
      </c>
      <c r="F255" s="16" t="str">
        <f>IFERROR(__xludf.DUMMYFUNCTION("""COMPUTED_VALUE"""),"Hit/Miss")</f>
        <v>Hit/Miss</v>
      </c>
      <c r="G255" s="16">
        <f>IFERROR(__xludf.DUMMYFUNCTION("""COMPUTED_VALUE"""),1.0)</f>
        <v>1</v>
      </c>
      <c r="H255" s="16" t="str">
        <f>IFERROR(__xludf.DUMMYFUNCTION("""COMPUTED_VALUE"""),"Spirit")</f>
        <v>Spirit</v>
      </c>
    </row>
    <row r="256">
      <c r="A256" s="16" t="str">
        <f>IFERROR(__xludf.DUMMYFUNCTION("""COMPUTED_VALUE"""),"Soul Trap")</f>
        <v>Soul Trap</v>
      </c>
      <c r="B256" s="16">
        <f>IFERROR(__xludf.DUMMYFUNCTION("""COMPUTED_VALUE"""),6.0)</f>
        <v>6</v>
      </c>
      <c r="C256" s="16">
        <f>IFERROR(__xludf.DUMMYFUNCTION("""COMPUTED_VALUE"""),60.0)</f>
        <v>60</v>
      </c>
      <c r="D256" s="16"/>
      <c r="E256" s="16" t="str">
        <f>IFERROR(__xludf.DUMMYFUNCTION("""COMPUTED_VALUE"""),"Trap 1 target in a soul binding cage causing Stun 3.")</f>
        <v>Trap 1 target in a soul binding cage causing Stun 3.</v>
      </c>
      <c r="F256" s="16" t="str">
        <f>IFERROR(__xludf.DUMMYFUNCTION("""COMPUTED_VALUE"""),"Fail/Succeed")</f>
        <v>Fail/Succeed</v>
      </c>
      <c r="G256" s="16"/>
      <c r="H256" s="16" t="str">
        <f>IFERROR(__xludf.DUMMYFUNCTION("""COMPUTED_VALUE"""),"Spirit")</f>
        <v>Spirit</v>
      </c>
    </row>
    <row r="257">
      <c r="A257" s="16" t="str">
        <f>IFERROR(__xludf.DUMMYFUNCTION("""COMPUTED_VALUE"""),"SP Recover")</f>
        <v>SP Recover</v>
      </c>
      <c r="B257" s="16">
        <f>IFERROR(__xludf.DUMMYFUNCTION("""COMPUTED_VALUE"""),1.0)</f>
        <v>1</v>
      </c>
      <c r="C257" s="16">
        <f>IFERROR(__xludf.DUMMYFUNCTION("""COMPUTED_VALUE"""),0.0)</f>
        <v>0</v>
      </c>
      <c r="D257" s="16"/>
      <c r="E257" s="16" t="str">
        <f>IFERROR(__xludf.DUMMYFUNCTION("""COMPUTED_VALUE"""),"Regain 5000 SP. Can only be used three times per character per session.")</f>
        <v>Regain 5000 SP. Can only be used three times per character per session.</v>
      </c>
      <c r="F257" s="16" t="str">
        <f>IFERROR(__xludf.DUMMYFUNCTION("""COMPUTED_VALUE"""),"Natural/Will Succeed")</f>
        <v>Natural/Will Succeed</v>
      </c>
      <c r="G257" s="16"/>
      <c r="H257" s="16" t="str">
        <f>IFERROR(__xludf.DUMMYFUNCTION("""COMPUTED_VALUE"""),"Spirit")</f>
        <v>Spirit</v>
      </c>
    </row>
    <row r="258">
      <c r="A258" s="16" t="str">
        <f>IFERROR(__xludf.DUMMYFUNCTION("""COMPUTED_VALUE"""),"Spectral Lash")</f>
        <v>Spectral Lash</v>
      </c>
      <c r="B258" s="16">
        <f>IFERROR(__xludf.DUMMYFUNCTION("""COMPUTED_VALUE"""),7.0)</f>
        <v>7</v>
      </c>
      <c r="C258" s="16">
        <f>IFERROR(__xludf.DUMMYFUNCTION("""COMPUTED_VALUE"""),500.0)</f>
        <v>500</v>
      </c>
      <c r="D258" s="16"/>
      <c r="E258" s="16" t="str">
        <f>IFERROR(__xludf.DUMMYFUNCTION("""COMPUTED_VALUE"""),"Unleash a stream of spectral magic upon an enemy inflicting them with Slowness 3 and Disoriented 5")</f>
        <v>Unleash a stream of spectral magic upon an enemy inflicting them with Slowness 3 and Disoriented 5</v>
      </c>
      <c r="F258" s="16" t="str">
        <f>IFERROR(__xludf.DUMMYFUNCTION("""COMPUTED_VALUE"""),"Fail or Succeed")</f>
        <v>Fail or Succeed</v>
      </c>
      <c r="G258" s="16">
        <f>IFERROR(__xludf.DUMMYFUNCTION("""COMPUTED_VALUE"""),1.0)</f>
        <v>1</v>
      </c>
      <c r="H258" s="16" t="str">
        <f>IFERROR(__xludf.DUMMYFUNCTION("""COMPUTED_VALUE"""),"Spirit")</f>
        <v>Spirit</v>
      </c>
    </row>
    <row r="259">
      <c r="A259" s="16" t="str">
        <f>IFERROR(__xludf.DUMMYFUNCTION("""COMPUTED_VALUE"""),"Spirit Drain")</f>
        <v>Spirit Drain</v>
      </c>
      <c r="B259" s="16">
        <f>IFERROR(__xludf.DUMMYFUNCTION("""COMPUTED_VALUE"""),6.0)</f>
        <v>6</v>
      </c>
      <c r="C259" s="16" t="str">
        <f>IFERROR(__xludf.DUMMYFUNCTION("""COMPUTED_VALUE"""),"½ Current SP")</f>
        <v>½ Current SP</v>
      </c>
      <c r="D259" s="16"/>
      <c r="E259" s="16" t="str">
        <f>IFERROR(__xludf.DUMMYFUNCTION("""COMPUTED_VALUE"""),"Costs half current SP, drains half of target’s current SP")</f>
        <v>Costs half current SP, drains half of target’s current SP</v>
      </c>
      <c r="F259" s="16" t="str">
        <f>IFERROR(__xludf.DUMMYFUNCTION("""COMPUTED_VALUE"""),"Fail/Succeed")</f>
        <v>Fail/Succeed</v>
      </c>
      <c r="G259" s="16"/>
      <c r="H259" s="16" t="str">
        <f>IFERROR(__xludf.DUMMYFUNCTION("""COMPUTED_VALUE"""),"Spirit")</f>
        <v>Spirit</v>
      </c>
    </row>
    <row r="260">
      <c r="A260" s="16" t="str">
        <f>IFERROR(__xludf.DUMMYFUNCTION("""COMPUTED_VALUE"""),"Spirit Fog")</f>
        <v>Spirit Fog</v>
      </c>
      <c r="B260" s="16">
        <f>IFERROR(__xludf.DUMMYFUNCTION("""COMPUTED_VALUE"""),5.0)</f>
        <v>5</v>
      </c>
      <c r="C260" s="16" t="str">
        <f>IFERROR(__xludf.DUMMYFUNCTION("""COMPUTED_VALUE"""),"X")</f>
        <v>X</v>
      </c>
      <c r="D260" s="16"/>
      <c r="E260" s="16" t="str">
        <f>IFERROR(__xludf.DUMMYFUNCTION("""COMPUTED_VALUE"""),"Deals X*25 Undefendable Spirit damage to all enemies where X is equal to SP spent.")</f>
        <v>Deals X*25 Undefendable Spirit damage to all enemies where X is equal to SP spent.</v>
      </c>
      <c r="F260" s="16" t="str">
        <f>IFERROR(__xludf.DUMMYFUNCTION("""COMPUTED_VALUE"""),"Cannot Avoid")</f>
        <v>Cannot Avoid</v>
      </c>
      <c r="G260" s="16" t="str">
        <f>IFERROR(__xludf.DUMMYFUNCTION("""COMPUTED_VALUE"""),"All")</f>
        <v>All</v>
      </c>
      <c r="H260" s="16" t="str">
        <f>IFERROR(__xludf.DUMMYFUNCTION("""COMPUTED_VALUE"""),"Spirit")</f>
        <v>Spirit</v>
      </c>
    </row>
    <row r="261">
      <c r="A261" s="16" t="str">
        <f>IFERROR(__xludf.DUMMYFUNCTION("""COMPUTED_VALUE"""),"Spirit's March")</f>
        <v>Spirit's March</v>
      </c>
      <c r="B261" s="16">
        <f>IFERROR(__xludf.DUMMYFUNCTION("""COMPUTED_VALUE"""),9.0)</f>
        <v>9</v>
      </c>
      <c r="C261" s="16" t="str">
        <f>IFERROR(__xludf.DUMMYFUNCTION("""COMPUTED_VALUE"""),"1d20*120")</f>
        <v>1d20*120</v>
      </c>
      <c r="D261" s="16"/>
      <c r="E26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61" s="16" t="str">
        <f>IFERROR(__xludf.DUMMYFUNCTION("""COMPUTED_VALUE"""),"Cannot Avoid")</f>
        <v>Cannot Avoid</v>
      </c>
      <c r="G261" s="16" t="str">
        <f>IFERROR(__xludf.DUMMYFUNCTION("""COMPUTED_VALUE"""),"All")</f>
        <v>All</v>
      </c>
      <c r="H261" s="16" t="str">
        <f>IFERROR(__xludf.DUMMYFUNCTION("""COMPUTED_VALUE"""),"Spirit")</f>
        <v>Spirit</v>
      </c>
    </row>
    <row r="262">
      <c r="A262" s="16" t="str">
        <f>IFERROR(__xludf.DUMMYFUNCTION("""COMPUTED_VALUE"""),"Vengeful Strike")</f>
        <v>Vengeful Strike</v>
      </c>
      <c r="B262" s="16">
        <f>IFERROR(__xludf.DUMMYFUNCTION("""COMPUTED_VALUE"""),9.0)</f>
        <v>9</v>
      </c>
      <c r="C262" s="16">
        <f>IFERROR(__xludf.DUMMYFUNCTION("""COMPUTED_VALUE"""),500.0)</f>
        <v>500</v>
      </c>
      <c r="D262" s="16"/>
      <c r="E26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62" s="16" t="str">
        <f>IFERROR(__xludf.DUMMYFUNCTION("""COMPUTED_VALUE"""),"Fail/Succeed")</f>
        <v>Fail/Succeed</v>
      </c>
      <c r="G262" s="16" t="str">
        <f>IFERROR(__xludf.DUMMYFUNCTION("""COMPUTED_VALUE"""),"Self")</f>
        <v>Self</v>
      </c>
      <c r="H262" s="16" t="str">
        <f>IFERROR(__xludf.DUMMYFUNCTION("""COMPUTED_VALUE"""),"Spirit")</f>
        <v>Spirit</v>
      </c>
    </row>
    <row r="263">
      <c r="A263" s="16" t="str">
        <f>IFERROR(__xludf.DUMMYFUNCTION("""COMPUTED_VALUE"""),"Colliding Forces")</f>
        <v>Colliding Forces</v>
      </c>
      <c r="B263" s="16">
        <f>IFERROR(__xludf.DUMMYFUNCTION("""COMPUTED_VALUE"""),5.0)</f>
        <v>5</v>
      </c>
      <c r="C263" s="16" t="str">
        <f>IFERROR(__xludf.DUMMYFUNCTION("""COMPUTED_VALUE"""),"X")</f>
        <v>X</v>
      </c>
      <c r="D263" s="16"/>
      <c r="E263" s="16" t="str">
        <f>IFERROR(__xludf.DUMMYFUNCTION("""COMPUTED_VALUE"""),"Deals X*15 Order and X*15 Chaos damage to all enemies where X is equal to SP spent.")</f>
        <v>Deals X*15 Order and X*15 Chaos damage to all enemies where X is equal to SP spent.</v>
      </c>
      <c r="F263" s="16" t="str">
        <f>IFERROR(__xludf.DUMMYFUNCTION("""COMPUTED_VALUE"""),"Cannot Avoid")</f>
        <v>Cannot Avoid</v>
      </c>
      <c r="G263" s="16" t="str">
        <f>IFERROR(__xludf.DUMMYFUNCTION("""COMPUTED_VALUE"""),"All")</f>
        <v>All</v>
      </c>
      <c r="H263" s="16" t="str">
        <f>IFERROR(__xludf.DUMMYFUNCTION("""COMPUTED_VALUE"""),"Stasis")</f>
        <v>Stasis</v>
      </c>
    </row>
    <row r="264">
      <c r="A264" s="16" t="str">
        <f>IFERROR(__xludf.DUMMYFUNCTION("""COMPUTED_VALUE"""),"Contradiction")</f>
        <v>Contradiction</v>
      </c>
      <c r="B264" s="16">
        <f>IFERROR(__xludf.DUMMYFUNCTION("""COMPUTED_VALUE"""),1.0)</f>
        <v>1</v>
      </c>
      <c r="C264" s="16" t="str">
        <f>IFERROR(__xludf.DUMMYFUNCTION("""COMPUTED_VALUE"""),"X")</f>
        <v>X</v>
      </c>
      <c r="D264" s="16"/>
      <c r="E264" s="16" t="str">
        <f>IFERROR(__xludf.DUMMYFUNCTION("""COMPUTED_VALUE"""),"Deals X*50 Order and X*50 Chaos damage to a single enemy where X is equal to SP spent.")</f>
        <v>Deals X*50 Order and X*50 Chaos damage to a single enemy where X is equal to SP spent.</v>
      </c>
      <c r="F264" s="16" t="str">
        <f>IFERROR(__xludf.DUMMYFUNCTION("""COMPUTED_VALUE"""),"Hit/Miss")</f>
        <v>Hit/Miss</v>
      </c>
      <c r="G264" s="16">
        <f>IFERROR(__xludf.DUMMYFUNCTION("""COMPUTED_VALUE"""),1.0)</f>
        <v>1</v>
      </c>
      <c r="H264" s="16" t="str">
        <f>IFERROR(__xludf.DUMMYFUNCTION("""COMPUTED_VALUE"""),"Stasis")</f>
        <v>Stasis</v>
      </c>
    </row>
    <row r="265">
      <c r="A265" s="16" t="str">
        <f>IFERROR(__xludf.DUMMYFUNCTION("""COMPUTED_VALUE"""),"Mass Static Breakdown")</f>
        <v>Mass Static Breakdown</v>
      </c>
      <c r="B265" s="16">
        <f>IFERROR(__xludf.DUMMYFUNCTION("""COMPUTED_VALUE"""),6.0)</f>
        <v>6</v>
      </c>
      <c r="C265" s="16" t="str">
        <f>IFERROR(__xludf.DUMMYFUNCTION("""COMPUTED_VALUE"""),"X")</f>
        <v>X</v>
      </c>
      <c r="D265" s="16"/>
      <c r="E265" s="16" t="str">
        <f>IFERROR(__xludf.DUMMYFUNCTION("""COMPUTED_VALUE"""),"Deals X*5 Order and X*5 Chaos damage per round to all enemies for 3 rounds where X is equal to SP spent.")</f>
        <v>Deals X*5 Order and X*5 Chaos damage per round to all enemies for 3 rounds where X is equal to SP spent.</v>
      </c>
      <c r="F265" s="16" t="str">
        <f>IFERROR(__xludf.DUMMYFUNCTION("""COMPUTED_VALUE"""),"Cannot Avoid")</f>
        <v>Cannot Avoid</v>
      </c>
      <c r="G265" s="16" t="str">
        <f>IFERROR(__xludf.DUMMYFUNCTION("""COMPUTED_VALUE"""),"All")</f>
        <v>All</v>
      </c>
      <c r="H265" s="16" t="str">
        <f>IFERROR(__xludf.DUMMYFUNCTION("""COMPUTED_VALUE"""),"Stasis")</f>
        <v>Stasis</v>
      </c>
    </row>
    <row r="266">
      <c r="A266" s="16" t="str">
        <f>IFERROR(__xludf.DUMMYFUNCTION("""COMPUTED_VALUE"""),"Stasis Madness")</f>
        <v>Stasis Madness</v>
      </c>
      <c r="B266" s="16">
        <f>IFERROR(__xludf.DUMMYFUNCTION("""COMPUTED_VALUE"""),6.0)</f>
        <v>6</v>
      </c>
      <c r="C266" s="16" t="str">
        <f>IFERROR(__xludf.DUMMYFUNCTION("""COMPUTED_VALUE"""),"X*100")</f>
        <v>X*100</v>
      </c>
      <c r="D266" s="16"/>
      <c r="E266" s="16" t="str">
        <f>IFERROR(__xludf.DUMMYFUNCTION("""COMPUTED_VALUE"""),"Target becomes completely unresponsive for X rounds")</f>
        <v>Target becomes completely unresponsive for X rounds</v>
      </c>
      <c r="F266" s="16" t="str">
        <f>IFERROR(__xludf.DUMMYFUNCTION("""COMPUTED_VALUE"""),"Fail/Succeed")</f>
        <v>Fail/Succeed</v>
      </c>
      <c r="G266" s="16"/>
      <c r="H266" s="16" t="str">
        <f>IFERROR(__xludf.DUMMYFUNCTION("""COMPUTED_VALUE"""),"Stasis")</f>
        <v>Stasis</v>
      </c>
    </row>
    <row r="267">
      <c r="A267" s="16" t="str">
        <f>IFERROR(__xludf.DUMMYFUNCTION("""COMPUTED_VALUE"""),"Stasis Meteor Shower")</f>
        <v>Stasis Meteor Shower</v>
      </c>
      <c r="B267" s="16">
        <f>IFERROR(__xludf.DUMMYFUNCTION("""COMPUTED_VALUE"""),9.0)</f>
        <v>9</v>
      </c>
      <c r="C267" s="16">
        <f>IFERROR(__xludf.DUMMYFUNCTION("""COMPUTED_VALUE"""),300.0)</f>
        <v>300</v>
      </c>
      <c r="D267" s="16"/>
      <c r="E267" s="16" t="str">
        <f>IFERROR(__xludf.DUMMYFUNCTION("""COMPUTED_VALUE"""),"10,000 order, 10,000 chaos damage to all enemies 15% chance of stun 3.")</f>
        <v>10,000 order, 10,000 chaos damage to all enemies 15% chance of stun 3.</v>
      </c>
      <c r="F267" s="16" t="str">
        <f>IFERROR(__xludf.DUMMYFUNCTION("""COMPUTED_VALUE"""),"Cannot be avoided")</f>
        <v>Cannot be avoided</v>
      </c>
      <c r="G267" s="16"/>
      <c r="H267" s="16" t="str">
        <f>IFERROR(__xludf.DUMMYFUNCTION("""COMPUTED_VALUE"""),"Stasis")</f>
        <v>Stasis</v>
      </c>
    </row>
    <row r="268">
      <c r="A268" s="16" t="str">
        <f>IFERROR(__xludf.DUMMYFUNCTION("""COMPUTED_VALUE"""),"Stasis Shield")</f>
        <v>Stasis Shield</v>
      </c>
      <c r="B268" s="16">
        <f>IFERROR(__xludf.DUMMYFUNCTION("""COMPUTED_VALUE"""),4.0)</f>
        <v>4</v>
      </c>
      <c r="C268" s="16">
        <f>IFERROR(__xludf.DUMMYFUNCTION("""COMPUTED_VALUE"""),40.0)</f>
        <v>40</v>
      </c>
      <c r="D268" s="16"/>
      <c r="E268" s="16" t="str">
        <f>IFERROR(__xludf.DUMMYFUNCTION("""COMPUTED_VALUE"""),"X4 def to selected target, and Immunity to order and chaos.")</f>
        <v>X4 def to selected target, and Immunity to order and chaos.</v>
      </c>
      <c r="F268" s="16" t="str">
        <f>IFERROR(__xludf.DUMMYFUNCTION("""COMPUTED_VALUE"""),"Will Succeed")</f>
        <v>Will Succeed</v>
      </c>
      <c r="G268" s="16"/>
      <c r="H268" s="16" t="str">
        <f>IFERROR(__xludf.DUMMYFUNCTION("""COMPUTED_VALUE"""),"Stasis")</f>
        <v>Stasis</v>
      </c>
    </row>
    <row r="269">
      <c r="A269" s="16" t="str">
        <f>IFERROR(__xludf.DUMMYFUNCTION("""COMPUTED_VALUE"""),"Stasis Storm")</f>
        <v>Stasis Storm</v>
      </c>
      <c r="B269" s="16">
        <f>IFERROR(__xludf.DUMMYFUNCTION("""COMPUTED_VALUE"""),2.0)</f>
        <v>2</v>
      </c>
      <c r="C269" s="16">
        <f>IFERROR(__xludf.DUMMYFUNCTION("""COMPUTED_VALUE"""),20.0)</f>
        <v>20</v>
      </c>
      <c r="D269" s="16"/>
      <c r="E269" s="16" t="str">
        <f>IFERROR(__xludf.DUMMYFUNCTION("""COMPUTED_VALUE"""),"1000 continuous order, 1000 continuous chaos damage.")</f>
        <v>1000 continuous order, 1000 continuous chaos damage.</v>
      </c>
      <c r="F269" s="16" t="str">
        <f>IFERROR(__xludf.DUMMYFUNCTION("""COMPUTED_VALUE"""),"Hit or Miss")</f>
        <v>Hit or Miss</v>
      </c>
      <c r="G269" s="16">
        <f>IFERROR(__xludf.DUMMYFUNCTION("""COMPUTED_VALUE"""),1.0)</f>
        <v>1</v>
      </c>
      <c r="H269" s="16" t="str">
        <f>IFERROR(__xludf.DUMMYFUNCTION("""COMPUTED_VALUE"""),"Stasis")</f>
        <v>Stasis</v>
      </c>
    </row>
    <row r="270">
      <c r="A270" s="16" t="str">
        <f>IFERROR(__xludf.DUMMYFUNCTION("""COMPUTED_VALUE"""),"Stasis Strike")</f>
        <v>Stasis Strike</v>
      </c>
      <c r="B270" s="16">
        <f>IFERROR(__xludf.DUMMYFUNCTION("""COMPUTED_VALUE"""),1.0)</f>
        <v>1</v>
      </c>
      <c r="C270" s="16">
        <f>IFERROR(__xludf.DUMMYFUNCTION("""COMPUTED_VALUE"""),10.0)</f>
        <v>10</v>
      </c>
      <c r="D270" s="16"/>
      <c r="E270" s="16" t="str">
        <f>IFERROR(__xludf.DUMMYFUNCTION("""COMPUTED_VALUE"""),"500 order, 500 chaos damage")</f>
        <v>500 order, 500 chaos damage</v>
      </c>
      <c r="F270" s="16" t="str">
        <f>IFERROR(__xludf.DUMMYFUNCTION("""COMPUTED_VALUE"""),"Hit or Miss")</f>
        <v>Hit or Miss</v>
      </c>
      <c r="G270" s="16">
        <f>IFERROR(__xludf.DUMMYFUNCTION("""COMPUTED_VALUE"""),1.0)</f>
        <v>1</v>
      </c>
      <c r="H270" s="16" t="str">
        <f>IFERROR(__xludf.DUMMYFUNCTION("""COMPUTED_VALUE"""),"Stasis")</f>
        <v>Stasis</v>
      </c>
    </row>
    <row r="271">
      <c r="A271" s="16" t="str">
        <f>IFERROR(__xludf.DUMMYFUNCTION("""COMPUTED_VALUE"""),"Stasis Transformation")</f>
        <v>Stasis Transformation</v>
      </c>
      <c r="B271" s="16">
        <f>IFERROR(__xludf.DUMMYFUNCTION("""COMPUTED_VALUE"""),8.0)</f>
        <v>8</v>
      </c>
      <c r="C271" s="16">
        <f>IFERROR(__xludf.DUMMYFUNCTION("""COMPUTED_VALUE"""),200.0)</f>
        <v>200</v>
      </c>
      <c r="D271" s="16"/>
      <c r="E271" s="16" t="str">
        <f>IFERROR(__xludf.DUMMYFUNCTION("""COMPUTED_VALUE"""),"X4 order and chaos damage for self and allies until end of battle.")</f>
        <v>X4 order and chaos damage for self and allies until end of battle.</v>
      </c>
      <c r="F271" s="16" t="str">
        <f>IFERROR(__xludf.DUMMYFUNCTION("""COMPUTED_VALUE"""),"Will succeed")</f>
        <v>Will succeed</v>
      </c>
      <c r="G271" s="16"/>
      <c r="H271" s="16" t="str">
        <f>IFERROR(__xludf.DUMMYFUNCTION("""COMPUTED_VALUE"""),"Stasis")</f>
        <v>Stasis</v>
      </c>
    </row>
    <row r="272">
      <c r="A272" s="16" t="str">
        <f>IFERROR(__xludf.DUMMYFUNCTION("""COMPUTED_VALUE"""),"Stasis Tsunami")</f>
        <v>Stasis Tsunami</v>
      </c>
      <c r="B272" s="16">
        <f>IFERROR(__xludf.DUMMYFUNCTION("""COMPUTED_VALUE"""),9.0)</f>
        <v>9</v>
      </c>
      <c r="C272" s="16">
        <f>IFERROR(__xludf.DUMMYFUNCTION("""COMPUTED_VALUE"""),300.0)</f>
        <v>300</v>
      </c>
      <c r="D272" s="16"/>
      <c r="E272" s="16" t="str">
        <f>IFERROR(__xludf.DUMMYFUNCTION("""COMPUTED_VALUE"""),"10,000 order, 10,000 chaos damage to all enemies.")</f>
        <v>10,000 order, 10,000 chaos damage to all enemies.</v>
      </c>
      <c r="F272" s="16" t="str">
        <f>IFERROR(__xludf.DUMMYFUNCTION("""COMPUTED_VALUE"""),"Cannot be avoided")</f>
        <v>Cannot be avoided</v>
      </c>
      <c r="G272" s="16"/>
      <c r="H272" s="16" t="str">
        <f>IFERROR(__xludf.DUMMYFUNCTION("""COMPUTED_VALUE"""),"Stasis")</f>
        <v>Stasis</v>
      </c>
    </row>
    <row r="273">
      <c r="A273" s="16" t="str">
        <f>IFERROR(__xludf.DUMMYFUNCTION("""COMPUTED_VALUE"""),"Static Breakdown")</f>
        <v>Static Breakdown</v>
      </c>
      <c r="B273" s="16">
        <f>IFERROR(__xludf.DUMMYFUNCTION("""COMPUTED_VALUE"""),5.0)</f>
        <v>5</v>
      </c>
      <c r="C273" s="16" t="str">
        <f>IFERROR(__xludf.DUMMYFUNCTION("""COMPUTED_VALUE"""),"X")</f>
        <v>X</v>
      </c>
      <c r="D273" s="16"/>
      <c r="E273" s="16" t="str">
        <f>IFERROR(__xludf.DUMMYFUNCTION("""COMPUTED_VALUE"""),"Deals X*25 Order and X*25 Chaos damage per round for 3 rounds to a single target where X is equal to SP spent.")</f>
        <v>Deals X*25 Order and X*25 Chaos damage per round for 3 rounds to a single target where X is equal to SP spent.</v>
      </c>
      <c r="F273" s="16" t="str">
        <f>IFERROR(__xludf.DUMMYFUNCTION("""COMPUTED_VALUE"""),"Hit/Miss")</f>
        <v>Hit/Miss</v>
      </c>
      <c r="G273" s="16">
        <f>IFERROR(__xludf.DUMMYFUNCTION("""COMPUTED_VALUE"""),1.0)</f>
        <v>1</v>
      </c>
      <c r="H273" s="16" t="str">
        <f>IFERROR(__xludf.DUMMYFUNCTION("""COMPUTED_VALUE"""),"Stasis")</f>
        <v>Stasis</v>
      </c>
    </row>
    <row r="274">
      <c r="A274" s="16" t="str">
        <f>IFERROR(__xludf.DUMMYFUNCTION("""COMPUTED_VALUE"""),"Tower Of Stasis")</f>
        <v>Tower Of Stasis</v>
      </c>
      <c r="B274" s="16">
        <f>IFERROR(__xludf.DUMMYFUNCTION("""COMPUTED_VALUE"""),8.0)</f>
        <v>8</v>
      </c>
      <c r="C274" s="16">
        <f>IFERROR(__xludf.DUMMYFUNCTION("""COMPUTED_VALUE"""),200.0)</f>
        <v>200</v>
      </c>
      <c r="D274" s="16"/>
      <c r="E27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74" s="16" t="str">
        <f>IFERROR(__xludf.DUMMYFUNCTION("""COMPUTED_VALUE"""),"Fail or succeed")</f>
        <v>Fail or succeed</v>
      </c>
      <c r="G274" s="16">
        <f>IFERROR(__xludf.DUMMYFUNCTION("""COMPUTED_VALUE"""),1.0)</f>
        <v>1</v>
      </c>
      <c r="H274" s="16" t="str">
        <f>IFERROR(__xludf.DUMMYFUNCTION("""COMPUTED_VALUE"""),"Stasis")</f>
        <v>Stasis</v>
      </c>
    </row>
    <row r="275">
      <c r="A275" s="16" t="str">
        <f>IFERROR(__xludf.DUMMYFUNCTION("""COMPUTED_VALUE"""),"Brewing Storm")</f>
        <v>Brewing Storm</v>
      </c>
      <c r="B275" s="16">
        <f>IFERROR(__xludf.DUMMYFUNCTION("""COMPUTED_VALUE"""),9.0)</f>
        <v>9</v>
      </c>
      <c r="C275" s="16">
        <f>IFERROR(__xludf.DUMMYFUNCTION("""COMPUTED_VALUE"""),500.0)</f>
        <v>500</v>
      </c>
      <c r="D275" s="16"/>
      <c r="E27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75" s="16" t="str">
        <f>IFERROR(__xludf.DUMMYFUNCTION("""COMPUTED_VALUE"""),"Will Succeed")</f>
        <v>Will Succeed</v>
      </c>
      <c r="G275" s="16" t="str">
        <f>IFERROR(__xludf.DUMMYFUNCTION("""COMPUTED_VALUE"""),"All")</f>
        <v>All</v>
      </c>
      <c r="H275" s="16" t="str">
        <f>IFERROR(__xludf.DUMMYFUNCTION("""COMPUTED_VALUE"""),"Storm")</f>
        <v>Storm</v>
      </c>
    </row>
    <row r="276">
      <c r="A276" s="16" t="str">
        <f>IFERROR(__xludf.DUMMYFUNCTION("""COMPUTED_VALUE"""),"Calm storm")</f>
        <v>Calm storm</v>
      </c>
      <c r="B276" s="16">
        <f>IFERROR(__xludf.DUMMYFUNCTION("""COMPUTED_VALUE"""),7.0)</f>
        <v>7</v>
      </c>
      <c r="C276" s="16" t="str">
        <f>IFERROR(__xludf.DUMMYFUNCTION("""COMPUTED_VALUE"""),"X")</f>
        <v>X</v>
      </c>
      <c r="D276" s="16"/>
      <c r="E276" s="16" t="str">
        <f>IFERROR(__xludf.DUMMYFUNCTION("""COMPUTED_VALUE"""),"Negate X*4 points of storm damage.")</f>
        <v>Negate X*4 points of storm damage.</v>
      </c>
      <c r="F276" s="16" t="str">
        <f>IFERROR(__xludf.DUMMYFUNCTION("""COMPUTED_VALUE"""),"Fail/Succeed")</f>
        <v>Fail/Succeed</v>
      </c>
      <c r="G276" s="16"/>
      <c r="H276" s="16" t="str">
        <f>IFERROR(__xludf.DUMMYFUNCTION("""COMPUTED_VALUE"""),"Storm")</f>
        <v>Storm</v>
      </c>
    </row>
    <row r="277">
      <c r="A277" s="16" t="str">
        <f>IFERROR(__xludf.DUMMYFUNCTION("""COMPUTED_VALUE"""),"Chain Lightning")</f>
        <v>Chain Lightning</v>
      </c>
      <c r="B277" s="16">
        <f>IFERROR(__xludf.DUMMYFUNCTION("""COMPUTED_VALUE"""),5.0)</f>
        <v>5</v>
      </c>
      <c r="C277" s="16" t="str">
        <f>IFERROR(__xludf.DUMMYFUNCTION("""COMPUTED_VALUE"""),"X")</f>
        <v>X</v>
      </c>
      <c r="D277" s="16"/>
      <c r="E277" s="16" t="str">
        <f>IFERROR(__xludf.DUMMYFUNCTION("""COMPUTED_VALUE"""),"Deals X*25 Storm damage to all enemies where X is equal to SP spent.")</f>
        <v>Deals X*25 Storm damage to all enemies where X is equal to SP spent.</v>
      </c>
      <c r="F277" s="16" t="str">
        <f>IFERROR(__xludf.DUMMYFUNCTION("""COMPUTED_VALUE"""),"Cannot Avoid")</f>
        <v>Cannot Avoid</v>
      </c>
      <c r="G277" s="16" t="str">
        <f>IFERROR(__xludf.DUMMYFUNCTION("""COMPUTED_VALUE"""),"All")</f>
        <v>All</v>
      </c>
      <c r="H277" s="16" t="str">
        <f>IFERROR(__xludf.DUMMYFUNCTION("""COMPUTED_VALUE"""),"Storm")</f>
        <v>Storm</v>
      </c>
    </row>
    <row r="278">
      <c r="A278" s="16" t="str">
        <f>IFERROR(__xludf.DUMMYFUNCTION("""COMPUTED_VALUE"""),"Cyclone")</f>
        <v>Cyclone</v>
      </c>
      <c r="B278" s="16">
        <f>IFERROR(__xludf.DUMMYFUNCTION("""COMPUTED_VALUE"""),3.0)</f>
        <v>3</v>
      </c>
      <c r="C278" s="16">
        <f>IFERROR(__xludf.DUMMYFUNCTION("""COMPUTED_VALUE"""),240.0)</f>
        <v>240</v>
      </c>
      <c r="D278" s="16"/>
      <c r="E278" s="16" t="str">
        <f>IFERROR(__xludf.DUMMYFUNCTION("""COMPUTED_VALUE"""),"3000 Storm Damage and 3000 Water damage to all enemies. ")</f>
        <v>3000 Storm Damage and 3000 Water damage to all enemies. </v>
      </c>
      <c r="F278" s="16" t="str">
        <f>IFERROR(__xludf.DUMMYFUNCTION("""COMPUTED_VALUE"""),"Cannot Avoid")</f>
        <v>Cannot Avoid</v>
      </c>
      <c r="G278" s="16"/>
      <c r="H278" s="16" t="str">
        <f>IFERROR(__xludf.DUMMYFUNCTION("""COMPUTED_VALUE"""),"Storm")</f>
        <v>Storm</v>
      </c>
    </row>
    <row r="279">
      <c r="A279" s="16" t="str">
        <f>IFERROR(__xludf.DUMMYFUNCTION("""COMPUTED_VALUE"""),"Dreading Storm")</f>
        <v>Dreading Storm</v>
      </c>
      <c r="B279" s="16">
        <f>IFERROR(__xludf.DUMMYFUNCTION("""COMPUTED_VALUE"""),8.0)</f>
        <v>8</v>
      </c>
      <c r="C279" s="16">
        <f>IFERROR(__xludf.DUMMYFUNCTION("""COMPUTED_VALUE"""),200.0)</f>
        <v>200</v>
      </c>
      <c r="D279" s="16"/>
      <c r="E279" s="16" t="str">
        <f>IFERROR(__xludf.DUMMYFUNCTION("""COMPUTED_VALUE"""),"5000 storm damage to all enemies, 50% chance to negate the next incoming stun attempts.")</f>
        <v>5000 storm damage to all enemies, 50% chance to negate the next incoming stun attempts.</v>
      </c>
      <c r="F279" s="16" t="str">
        <f>IFERROR(__xludf.DUMMYFUNCTION("""COMPUTED_VALUE"""),"Cannot Avoid")</f>
        <v>Cannot Avoid</v>
      </c>
      <c r="G279" s="16"/>
      <c r="H279" s="16" t="str">
        <f>IFERROR(__xludf.DUMMYFUNCTION("""COMPUTED_VALUE"""),"Storm")</f>
        <v>Storm</v>
      </c>
    </row>
    <row r="280">
      <c r="A280" s="16" t="str">
        <f>IFERROR(__xludf.DUMMYFUNCTION("""COMPUTED_VALUE"""),"Eel Nado")</f>
        <v>Eel Nado</v>
      </c>
      <c r="B280" s="16">
        <f>IFERROR(__xludf.DUMMYFUNCTION("""COMPUTED_VALUE"""),9.0)</f>
        <v>9</v>
      </c>
      <c r="C280" s="16">
        <f>IFERROR(__xludf.DUMMYFUNCTION("""COMPUTED_VALUE"""),800.0)</f>
        <v>800</v>
      </c>
      <c r="D280" s="16"/>
      <c r="E280" s="16" t="str">
        <f>IFERROR(__xludf.DUMMYFUNCTION("""COMPUTED_VALUE"""),"20,000 storm and water damage to all enemies, 75% chance to summon 2 Eel Sharks if the battle is in water. ")</f>
        <v>20,000 storm and water damage to all enemies, 75% chance to summon 2 Eel Sharks if the battle is in water. </v>
      </c>
      <c r="F280" s="16" t="str">
        <f>IFERROR(__xludf.DUMMYFUNCTION("""COMPUTED_VALUE"""),"Hit/Miss")</f>
        <v>Hit/Miss</v>
      </c>
      <c r="G280" s="16">
        <f>IFERROR(__xludf.DUMMYFUNCTION("""COMPUTED_VALUE"""),1.0)</f>
        <v>1</v>
      </c>
      <c r="H280" s="16" t="str">
        <f>IFERROR(__xludf.DUMMYFUNCTION("""COMPUTED_VALUE"""),"Storm")</f>
        <v>Storm</v>
      </c>
    </row>
    <row r="281">
      <c r="A281" s="16" t="str">
        <f>IFERROR(__xludf.DUMMYFUNCTION("""COMPUTED_VALUE"""),"Elemental Storm")</f>
        <v>Elemental Storm</v>
      </c>
      <c r="B281" s="16">
        <f>IFERROR(__xludf.DUMMYFUNCTION("""COMPUTED_VALUE"""),9.0)</f>
        <v>9</v>
      </c>
      <c r="C281" s="16">
        <f>IFERROR(__xludf.DUMMYFUNCTION("""COMPUTED_VALUE"""),7200.0)</f>
        <v>7200</v>
      </c>
      <c r="D281" s="16"/>
      <c r="E281" s="16" t="str">
        <f>IFERROR(__xludf.DUMMYFUNCTION("""COMPUTED_VALUE"""),"20,000 fire, water, earth, light, dark, order, chaos, nature, and storm damage to all enemies.")</f>
        <v>20,000 fire, water, earth, light, dark, order, chaos, nature, and storm damage to all enemies.</v>
      </c>
      <c r="F281" s="16" t="str">
        <f>IFERROR(__xludf.DUMMYFUNCTION("""COMPUTED_VALUE"""),"Cannot Avoid")</f>
        <v>Cannot Avoid</v>
      </c>
      <c r="G281" s="16"/>
      <c r="H281" s="16" t="str">
        <f>IFERROR(__xludf.DUMMYFUNCTION("""COMPUTED_VALUE"""),"Storm")</f>
        <v>Storm</v>
      </c>
    </row>
    <row r="282">
      <c r="A282" s="16" t="str">
        <f>IFERROR(__xludf.DUMMYFUNCTION("""COMPUTED_VALUE"""),"Freezing Fog")</f>
        <v>Freezing Fog</v>
      </c>
      <c r="B282" s="16">
        <f>IFERROR(__xludf.DUMMYFUNCTION("""COMPUTED_VALUE"""),9.0)</f>
        <v>9</v>
      </c>
      <c r="C282" s="16">
        <f>IFERROR(__xludf.DUMMYFUNCTION("""COMPUTED_VALUE"""),300.0)</f>
        <v>300</v>
      </c>
      <c r="D282" s="16"/>
      <c r="E282" s="16" t="str">
        <f>IFERROR(__xludf.DUMMYFUNCTION("""COMPUTED_VALUE"""),"50% chance of freezing 1d6 enemies.")</f>
        <v>50% chance of freezing 1d6 enemies.</v>
      </c>
      <c r="F282" s="16" t="str">
        <f>IFERROR(__xludf.DUMMYFUNCTION("""COMPUTED_VALUE"""),"Will Succeed")</f>
        <v>Will Succeed</v>
      </c>
      <c r="G282" s="16" t="str">
        <f>IFERROR(__xludf.DUMMYFUNCTION("""COMPUTED_VALUE"""),"1d6")</f>
        <v>1d6</v>
      </c>
      <c r="H282" s="16" t="str">
        <f>IFERROR(__xludf.DUMMYFUNCTION("""COMPUTED_VALUE"""),"Storm")</f>
        <v>Storm</v>
      </c>
    </row>
    <row r="283">
      <c r="A283" s="16" t="str">
        <f>IFERROR(__xludf.DUMMYFUNCTION("""COMPUTED_VALUE"""),"Gust of Wind")</f>
        <v>Gust of Wind</v>
      </c>
      <c r="B283" s="16">
        <f>IFERROR(__xludf.DUMMYFUNCTION("""COMPUTED_VALUE"""),2.0)</f>
        <v>2</v>
      </c>
      <c r="C283" s="16">
        <f>IFERROR(__xludf.DUMMYFUNCTION("""COMPUTED_VALUE"""),80.0)</f>
        <v>80</v>
      </c>
      <c r="D283" s="16"/>
      <c r="E283" s="16" t="str">
        <f>IFERROR(__xludf.DUMMYFUNCTION("""COMPUTED_VALUE"""),"2000 storm damage to all enemies. 50% chance to remove those targets from battle.")</f>
        <v>2000 storm damage to all enemies. 50% chance to remove those targets from battle.</v>
      </c>
      <c r="F283" s="16" t="str">
        <f>IFERROR(__xludf.DUMMYFUNCTION("""COMPUTED_VALUE"""),"Cannot Avoid")</f>
        <v>Cannot Avoid</v>
      </c>
      <c r="G283" s="16" t="str">
        <f>IFERROR(__xludf.DUMMYFUNCTION("""COMPUTED_VALUE"""),"All")</f>
        <v>All</v>
      </c>
      <c r="H283" s="16" t="str">
        <f>IFERROR(__xludf.DUMMYFUNCTION("""COMPUTED_VALUE"""),"Storm")</f>
        <v>Storm</v>
      </c>
    </row>
    <row r="284">
      <c r="A284" s="16" t="str">
        <f>IFERROR(__xludf.DUMMYFUNCTION("""COMPUTED_VALUE"""),"Hurricane")</f>
        <v>Hurricane</v>
      </c>
      <c r="B284" s="16">
        <f>IFERROR(__xludf.DUMMYFUNCTION("""COMPUTED_VALUE"""),3.0)</f>
        <v>3</v>
      </c>
      <c r="C284" s="16" t="str">
        <f>IFERROR(__xludf.DUMMYFUNCTION("""COMPUTED_VALUE"""),"d12*20")</f>
        <v>d12*20</v>
      </c>
      <c r="D284" s="16"/>
      <c r="E28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IFERROR(__xludf.DUMMYFUNCTION("""COMPUTED_VALUE"""),"Lightning Strike")</f>
        <v>Lightning Strike</v>
      </c>
      <c r="B285" s="16">
        <f>IFERROR(__xludf.DUMMYFUNCTION("""COMPUTED_VALUE"""),1.0)</f>
        <v>1</v>
      </c>
      <c r="C285" s="16" t="str">
        <f>IFERROR(__xludf.DUMMYFUNCTION("""COMPUTED_VALUE"""),"X")</f>
        <v>X</v>
      </c>
      <c r="D285" s="16"/>
      <c r="E285" s="16" t="str">
        <f>IFERROR(__xludf.DUMMYFUNCTION("""COMPUTED_VALUE"""),"Deals X*100 Storm damage to a single enemy where X is equal to SP spent.")</f>
        <v>Deals X*100 Storm damage to a single enemy where X is equal to SP spent.</v>
      </c>
      <c r="F285" s="16" t="str">
        <f>IFERROR(__xludf.DUMMYFUNCTION("""COMPUTED_VALUE"""),"Hit/Miss")</f>
        <v>Hit/Miss</v>
      </c>
      <c r="G285" s="16">
        <f>IFERROR(__xludf.DUMMYFUNCTION("""COMPUTED_VALUE"""),1.0)</f>
        <v>1</v>
      </c>
      <c r="H285" s="16" t="str">
        <f>IFERROR(__xludf.DUMMYFUNCTION("""COMPUTED_VALUE"""),"Storm")</f>
        <v>Storm</v>
      </c>
    </row>
    <row r="286">
      <c r="A286" s="16" t="str">
        <f>IFERROR(__xludf.DUMMYFUNCTION("""COMPUTED_VALUE"""),"Mass Charge")</f>
        <v>Mass Charge</v>
      </c>
      <c r="B286" s="16">
        <f>IFERROR(__xludf.DUMMYFUNCTION("""COMPUTED_VALUE"""),6.0)</f>
        <v>6</v>
      </c>
      <c r="C286" s="16" t="str">
        <f>IFERROR(__xludf.DUMMYFUNCTION("""COMPUTED_VALUE"""),"X")</f>
        <v>X</v>
      </c>
      <c r="D286" s="16"/>
      <c r="E286" s="16" t="str">
        <f>IFERROR(__xludf.DUMMYFUNCTION("""COMPUTED_VALUE"""),"Deals X*10 Storm damage per round to all enemies for 3 rounds where X is equal to SP spent.")</f>
        <v>Deals X*10 Storm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IFERROR(__xludf.DUMMYFUNCTION("""COMPUTED_VALUE"""),"Storm")</f>
        <v>Storm</v>
      </c>
    </row>
    <row r="287">
      <c r="A287" s="16" t="str">
        <f>IFERROR(__xludf.DUMMYFUNCTION("""COMPUTED_VALUE"""),"Roaring Frost Winds")</f>
        <v>Roaring Frost Winds</v>
      </c>
      <c r="B287" s="16">
        <f>IFERROR(__xludf.DUMMYFUNCTION("""COMPUTED_VALUE"""),8.0)</f>
        <v>8</v>
      </c>
      <c r="C287" s="16">
        <f>IFERROR(__xludf.DUMMYFUNCTION("""COMPUTED_VALUE"""),560.0)</f>
        <v>560</v>
      </c>
      <c r="D287" s="16"/>
      <c r="E287" s="16" t="str">
        <f>IFERROR(__xludf.DUMMYFUNCTION("""COMPUTED_VALUE"""),"14,000 storm damage to all enemies, 50% chance to freeze all targets.")</f>
        <v>14,000 storm damage to all enemies, 50% chance to freeze all targets.</v>
      </c>
      <c r="F287" s="16" t="str">
        <f>IFERROR(__xludf.DUMMYFUNCTION("""COMPUTED_VALUE"""),"Cannot Avoid")</f>
        <v>Cannot Avoid</v>
      </c>
      <c r="G287" s="16"/>
      <c r="H287" s="16" t="str">
        <f>IFERROR(__xludf.DUMMYFUNCTION("""COMPUTED_VALUE"""),"Storm")</f>
        <v>Storm</v>
      </c>
    </row>
    <row r="288">
      <c r="A288" s="16" t="str">
        <f>IFERROR(__xludf.DUMMYFUNCTION("""COMPUTED_VALUE"""),"Shocking Strike")</f>
        <v>Shocking Strike</v>
      </c>
      <c r="B288" s="16">
        <f>IFERROR(__xludf.DUMMYFUNCTION("""COMPUTED_VALUE"""),6.0)</f>
        <v>6</v>
      </c>
      <c r="C288" s="16">
        <f>IFERROR(__xludf.DUMMYFUNCTION("""COMPUTED_VALUE"""),240.0)</f>
        <v>240</v>
      </c>
      <c r="D288" s="16"/>
      <c r="E288" s="16" t="str">
        <f>IFERROR(__xludf.DUMMYFUNCTION("""COMPUTED_VALUE"""),"6000 storm damage, Stun 3")</f>
        <v>6000 storm damage, Stun 3</v>
      </c>
      <c r="F288" s="16" t="str">
        <f>IFERROR(__xludf.DUMMYFUNCTION("""COMPUTED_VALUE"""),"Hit/Miss")</f>
        <v>Hit/Miss</v>
      </c>
      <c r="G288" s="16">
        <f>IFERROR(__xludf.DUMMYFUNCTION("""COMPUTED_VALUE"""),1.0)</f>
        <v>1</v>
      </c>
      <c r="H288" s="16" t="str">
        <f>IFERROR(__xludf.DUMMYFUNCTION("""COMPUTED_VALUE"""),"Storm")</f>
        <v>Storm</v>
      </c>
    </row>
    <row r="289">
      <c r="A289" s="16" t="str">
        <f>IFERROR(__xludf.DUMMYFUNCTION("""COMPUTED_VALUE"""),"Shocking Touch")</f>
        <v>Shocking Touch</v>
      </c>
      <c r="B289" s="16">
        <f>IFERROR(__xludf.DUMMYFUNCTION("""COMPUTED_VALUE"""),5.0)</f>
        <v>5</v>
      </c>
      <c r="C289" s="16" t="str">
        <f>IFERROR(__xludf.DUMMYFUNCTION("""COMPUTED_VALUE"""),"X")</f>
        <v>X</v>
      </c>
      <c r="D289" s="16"/>
      <c r="E289" s="16" t="str">
        <f>IFERROR(__xludf.DUMMYFUNCTION("""COMPUTED_VALUE"""),"Deals X*50 Storm damage per round for 3 rounds to a single target where X is equal to SP spent.")</f>
        <v>Deals X*50 Storm damage per round for 3 rounds to a single target where X is equal to SP spent.</v>
      </c>
      <c r="F289" s="16" t="str">
        <f>IFERROR(__xludf.DUMMYFUNCTION("""COMPUTED_VALUE"""),"Hit/Miss")</f>
        <v>Hit/Miss</v>
      </c>
      <c r="G289" s="16">
        <f>IFERROR(__xludf.DUMMYFUNCTION("""COMPUTED_VALUE"""),1.0)</f>
        <v>1</v>
      </c>
      <c r="H289" s="16" t="str">
        <f>IFERROR(__xludf.DUMMYFUNCTION("""COMPUTED_VALUE"""),"Storm")</f>
        <v>Storm</v>
      </c>
    </row>
    <row r="290">
      <c r="A290" s="16" t="str">
        <f>IFERROR(__xludf.DUMMYFUNCTION("""COMPUTED_VALUE"""),"Static Charge")</f>
        <v>Static Charge</v>
      </c>
      <c r="B290" s="16">
        <f>IFERROR(__xludf.DUMMYFUNCTION("""COMPUTED_VALUE"""),4.0)</f>
        <v>4</v>
      </c>
      <c r="C290" s="16" t="str">
        <f>IFERROR(__xludf.DUMMYFUNCTION("""COMPUTED_VALUE"""),"X")</f>
        <v>X</v>
      </c>
      <c r="D290" s="16"/>
      <c r="E290" s="16" t="str">
        <f>IFERROR(__xludf.DUMMYFUNCTION("""COMPUTED_VALUE"""),"Target gains X*4 Storm damage and X*4 Storm resistance, can’t be used on self.")</f>
        <v>Target gains X*4 Storm damage and X*4 Storm resistance, can’t be used on self.</v>
      </c>
      <c r="F290" s="16" t="str">
        <f>IFERROR(__xludf.DUMMYFUNCTION("""COMPUTED_VALUE"""),"Will Succeed")</f>
        <v>Will Succeed</v>
      </c>
      <c r="G290" s="16"/>
      <c r="H290" s="16" t="str">
        <f>IFERROR(__xludf.DUMMYFUNCTION("""COMPUTED_VALUE"""),"Storm")</f>
        <v>Storm</v>
      </c>
    </row>
    <row r="291">
      <c r="A291" s="16" t="str">
        <f>IFERROR(__xludf.DUMMYFUNCTION("""COMPUTED_VALUE"""),"Stun Negation")</f>
        <v>Stun Negation</v>
      </c>
      <c r="B291" s="16">
        <f>IFERROR(__xludf.DUMMYFUNCTION("""COMPUTED_VALUE"""),6.0)</f>
        <v>6</v>
      </c>
      <c r="C291" s="16">
        <f>IFERROR(__xludf.DUMMYFUNCTION("""COMPUTED_VALUE"""),60.0)</f>
        <v>60</v>
      </c>
      <c r="D291" s="16"/>
      <c r="E291" s="16" t="str">
        <f>IFERROR(__xludf.DUMMYFUNCTION("""COMPUTED_VALUE"""),"Negate the next 3 incoming stun attempts.")</f>
        <v>Negate the next 3 incoming stun attempts.</v>
      </c>
      <c r="F291" s="16" t="str">
        <f>IFERROR(__xludf.DUMMYFUNCTION("""COMPUTED_VALUE"""),"Fail/Succeed")</f>
        <v>Fail/Succeed</v>
      </c>
      <c r="G291" s="16"/>
      <c r="H291" s="16" t="str">
        <f>IFERROR(__xludf.DUMMYFUNCTION("""COMPUTED_VALUE"""),"Storm")</f>
        <v>Storm</v>
      </c>
    </row>
    <row r="292">
      <c r="A292" s="16" t="str">
        <f>IFERROR(__xludf.DUMMYFUNCTION("""COMPUTED_VALUE"""),"Stun Wave")</f>
        <v>Stun Wave</v>
      </c>
      <c r="B292" s="16">
        <f>IFERROR(__xludf.DUMMYFUNCTION("""COMPUTED_VALUE"""),1.0)</f>
        <v>1</v>
      </c>
      <c r="C292" s="16">
        <f>IFERROR(__xludf.DUMMYFUNCTION("""COMPUTED_VALUE"""),10.0)</f>
        <v>10</v>
      </c>
      <c r="D292" s="16"/>
      <c r="E292" s="16" t="str">
        <f>IFERROR(__xludf.DUMMYFUNCTION("""COMPUTED_VALUE"""),"Stun 3")</f>
        <v>Stun 3</v>
      </c>
      <c r="F292" s="16" t="str">
        <f>IFERROR(__xludf.DUMMYFUNCTION("""COMPUTED_VALUE"""),"Fail/Succeed")</f>
        <v>Fail/Succeed</v>
      </c>
      <c r="G292" s="16"/>
      <c r="H292" s="16" t="str">
        <f>IFERROR(__xludf.DUMMYFUNCTION("""COMPUTED_VALUE"""),"Storm")</f>
        <v>Storm</v>
      </c>
    </row>
    <row r="293">
      <c r="A293" s="16" t="str">
        <f>IFERROR(__xludf.DUMMYFUNCTION("""COMPUTED_VALUE"""),"Thunderstorm")</f>
        <v>Thunderstorm</v>
      </c>
      <c r="B293" s="16">
        <f>IFERROR(__xludf.DUMMYFUNCTION("""COMPUTED_VALUE"""),6.0)</f>
        <v>6</v>
      </c>
      <c r="C293" s="16">
        <f>IFERROR(__xludf.DUMMYFUNCTION("""COMPUTED_VALUE"""),60.0)</f>
        <v>60</v>
      </c>
      <c r="D293" s="16"/>
      <c r="E29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93" s="16" t="str">
        <f>IFERROR(__xludf.DUMMYFUNCTION("""COMPUTED_VALUE"""),"Will Succeed")</f>
        <v>Will Succeed</v>
      </c>
      <c r="G293" s="16"/>
      <c r="H293" s="16" t="str">
        <f>IFERROR(__xludf.DUMMYFUNCTION("""COMPUTED_VALUE"""),"Storm")</f>
        <v>Storm</v>
      </c>
    </row>
    <row r="294">
      <c r="A294" s="16" t="str">
        <f>IFERROR(__xludf.DUMMYFUNCTION("""COMPUTED_VALUE"""),"Tornado")</f>
        <v>Tornado</v>
      </c>
      <c r="B294" s="16">
        <f>IFERROR(__xludf.DUMMYFUNCTION("""COMPUTED_VALUE"""),3.0)</f>
        <v>3</v>
      </c>
      <c r="C294" s="16" t="str">
        <f>IFERROR(__xludf.DUMMYFUNCTION("""COMPUTED_VALUE"""),"d20*40")</f>
        <v>d20*40</v>
      </c>
      <c r="D294" s="16"/>
      <c r="E29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94" s="16" t="str">
        <f>IFERROR(__xludf.DUMMYFUNCTION("""COMPUTED_VALUE"""),"Cannot Avoid")</f>
        <v>Cannot Avoid</v>
      </c>
      <c r="G294" s="16" t="str">
        <f>IFERROR(__xludf.DUMMYFUNCTION("""COMPUTED_VALUE"""),"All")</f>
        <v>All</v>
      </c>
      <c r="H294" s="16" t="str">
        <f>IFERROR(__xludf.DUMMYFUNCTION("""COMPUTED_VALUE"""),"Storm")</f>
        <v>Storm</v>
      </c>
    </row>
    <row r="295">
      <c r="A295" s="16" t="str">
        <f>IFERROR(__xludf.DUMMYFUNCTION("""COMPUTED_VALUE"""),"Tower Of Storm")</f>
        <v>Tower Of Storm</v>
      </c>
      <c r="B295" s="16">
        <f>IFERROR(__xludf.DUMMYFUNCTION("""COMPUTED_VALUE"""),9.0)</f>
        <v>9</v>
      </c>
      <c r="C295" s="16">
        <f>IFERROR(__xludf.DUMMYFUNCTION("""COMPUTED_VALUE"""),300.0)</f>
        <v>300</v>
      </c>
      <c r="D295" s="16"/>
      <c r="E295" s="16" t="str">
        <f>IFERROR(__xludf.DUMMYFUNCTION("""COMPUTED_VALUE"""),"X4 additional storm damage for caster and allies. Plus Storm Immunity to caster only for 3 rounds.")</f>
        <v>X4 additional storm damage for caster and allies. Plus Storm Immunity to caster only for 3 rounds.</v>
      </c>
      <c r="F295" s="16" t="str">
        <f>IFERROR(__xludf.DUMMYFUNCTION("""COMPUTED_VALUE"""),"Fail/Succeed")</f>
        <v>Fail/Succeed</v>
      </c>
      <c r="G295" s="16"/>
      <c r="H295" s="16" t="str">
        <f>IFERROR(__xludf.DUMMYFUNCTION("""COMPUTED_VALUE"""),"Storm")</f>
        <v>Storm</v>
      </c>
    </row>
    <row r="296">
      <c r="A296" s="16" t="str">
        <f>IFERROR(__xludf.DUMMYFUNCTION("""COMPUTED_VALUE"""),"Danse Macabre")</f>
        <v>Danse Macabre</v>
      </c>
      <c r="B296" s="16">
        <f>IFERROR(__xludf.DUMMYFUNCTION("""COMPUTED_VALUE"""),6.0)</f>
        <v>6</v>
      </c>
      <c r="C296" s="16" t="str">
        <f>IFERROR(__xludf.DUMMYFUNCTION("""COMPUTED_VALUE"""),"X")</f>
        <v>X</v>
      </c>
      <c r="D296" s="16"/>
      <c r="E296" s="16" t="str">
        <f>IFERROR(__xludf.DUMMYFUNCTION("""COMPUTED_VALUE"""),"Deals X*5 Light and X*5 Dark damage per round to all enemies for 3 rounds where X is equal to SP spent.")</f>
        <v>Deals X*5 Light and X*5 Dark damage per round to all enemies for 3 rounds where X is equal to SP spent.</v>
      </c>
      <c r="F296" s="16" t="str">
        <f>IFERROR(__xludf.DUMMYFUNCTION("""COMPUTED_VALUE"""),"Cannot Avoid")</f>
        <v>Cannot Avoid</v>
      </c>
      <c r="G296" s="16" t="str">
        <f>IFERROR(__xludf.DUMMYFUNCTION("""COMPUTED_VALUE"""),"All")</f>
        <v>All</v>
      </c>
      <c r="H296" s="16" t="str">
        <f>IFERROR(__xludf.DUMMYFUNCTION("""COMPUTED_VALUE"""),"Twilight")</f>
        <v>Twilight</v>
      </c>
    </row>
    <row r="297">
      <c r="A297" s="16" t="str">
        <f>IFERROR(__xludf.DUMMYFUNCTION("""COMPUTED_VALUE"""),"Lash of Twilight")</f>
        <v>Lash of Twilight</v>
      </c>
      <c r="B297" s="16">
        <f>IFERROR(__xludf.DUMMYFUNCTION("""COMPUTED_VALUE"""),1.0)</f>
        <v>1</v>
      </c>
      <c r="C297" s="16" t="str">
        <f>IFERROR(__xludf.DUMMYFUNCTION("""COMPUTED_VALUE"""),"X")</f>
        <v>X</v>
      </c>
      <c r="D297" s="16"/>
      <c r="E297" s="16" t="str">
        <f>IFERROR(__xludf.DUMMYFUNCTION("""COMPUTED_VALUE"""),"Deals X*50 Light and X*50 Dark damage to a single enemy where X is equal to SP spent.")</f>
        <v>Deals X*50 Light and X*50 Dark damage to a single enemy where X is equal to SP spent.</v>
      </c>
      <c r="F297" s="16" t="str">
        <f>IFERROR(__xludf.DUMMYFUNCTION("""COMPUTED_VALUE"""),"Hit/Miss")</f>
        <v>Hit/Miss</v>
      </c>
      <c r="G297" s="16">
        <f>IFERROR(__xludf.DUMMYFUNCTION("""COMPUTED_VALUE"""),1.0)</f>
        <v>1</v>
      </c>
      <c r="H297" s="16" t="str">
        <f>IFERROR(__xludf.DUMMYFUNCTION("""COMPUTED_VALUE"""),"Twilight")</f>
        <v>Twilight</v>
      </c>
    </row>
    <row r="298">
      <c r="A298" s="16" t="str">
        <f>IFERROR(__xludf.DUMMYFUNCTION("""COMPUTED_VALUE"""),"Searing Twilight")</f>
        <v>Searing Twilight</v>
      </c>
      <c r="B298" s="16">
        <f>IFERROR(__xludf.DUMMYFUNCTION("""COMPUTED_VALUE"""),5.0)</f>
        <v>5</v>
      </c>
      <c r="C298" s="16" t="str">
        <f>IFERROR(__xludf.DUMMYFUNCTION("""COMPUTED_VALUE"""),"X")</f>
        <v>X</v>
      </c>
      <c r="D298" s="16"/>
      <c r="E298" s="16" t="str">
        <f>IFERROR(__xludf.DUMMYFUNCTION("""COMPUTED_VALUE"""),"Deals X*25 Light and X*25 Dark damage per round for 3 rounds to a single target where X is equal to SP spent.")</f>
        <v>Deals X*25 Light and X*25 Dark damage per round for 3 rounds to a single target where X is equal to SP spent.</v>
      </c>
      <c r="F298" s="16" t="str">
        <f>IFERROR(__xludf.DUMMYFUNCTION("""COMPUTED_VALUE"""),"Hit/Miss")</f>
        <v>Hit/Miss</v>
      </c>
      <c r="G298" s="16">
        <f>IFERROR(__xludf.DUMMYFUNCTION("""COMPUTED_VALUE"""),1.0)</f>
        <v>1</v>
      </c>
      <c r="H298" s="16" t="str">
        <f>IFERROR(__xludf.DUMMYFUNCTION("""COMPUTED_VALUE"""),"Twilight")</f>
        <v>Twilight</v>
      </c>
    </row>
    <row r="299">
      <c r="A299" s="16" t="str">
        <f>IFERROR(__xludf.DUMMYFUNCTION("""COMPUTED_VALUE"""),"The Setting Sun")</f>
        <v>The Setting Sun</v>
      </c>
      <c r="B299" s="16">
        <f>IFERROR(__xludf.DUMMYFUNCTION("""COMPUTED_VALUE"""),5.0)</f>
        <v>5</v>
      </c>
      <c r="C299" s="16" t="str">
        <f>IFERROR(__xludf.DUMMYFUNCTION("""COMPUTED_VALUE"""),"X")</f>
        <v>X</v>
      </c>
      <c r="D299" s="16"/>
      <c r="E299" s="16" t="str">
        <f>IFERROR(__xludf.DUMMYFUNCTION("""COMPUTED_VALUE"""),"Deals X*15 Light and X*15 Dark damage to all enemies where X is equal to SP spent.")</f>
        <v>Deals X*15 Light and X*15 Dark damage to all enemies where X is equal to SP spent.</v>
      </c>
      <c r="F299" s="16" t="str">
        <f>IFERROR(__xludf.DUMMYFUNCTION("""COMPUTED_VALUE"""),"Cannot Avoid")</f>
        <v>Cannot Avoid</v>
      </c>
      <c r="G299" s="16" t="str">
        <f>IFERROR(__xludf.DUMMYFUNCTION("""COMPUTED_VALUE"""),"All")</f>
        <v>All</v>
      </c>
      <c r="H299" s="16" t="str">
        <f>IFERROR(__xludf.DUMMYFUNCTION("""COMPUTED_VALUE"""),"Twilight")</f>
        <v>Twilight</v>
      </c>
    </row>
    <row r="300">
      <c r="A300" s="16" t="str">
        <f>IFERROR(__xludf.DUMMYFUNCTION("""COMPUTED_VALUE"""),"Twilight Masquerade")</f>
        <v>Twilight Masquerade</v>
      </c>
      <c r="B300" s="16">
        <f>IFERROR(__xludf.DUMMYFUNCTION("""COMPUTED_VALUE"""),9.0)</f>
        <v>9</v>
      </c>
      <c r="C300" s="16">
        <f>IFERROR(__xludf.DUMMYFUNCTION("""COMPUTED_VALUE"""),1000.0)</f>
        <v>1000</v>
      </c>
      <c r="D300" s="16"/>
      <c r="E300" s="16" t="str">
        <f>IFERROR(__xludf.DUMMYFUNCTION("""COMPUTED_VALUE"""),"Become Immune to attacks for 3 rounds.")</f>
        <v>Become Immune to attacks for 3 rounds.</v>
      </c>
      <c r="F300" s="16" t="str">
        <f>IFERROR(__xludf.DUMMYFUNCTION("""COMPUTED_VALUE"""),"Fail/Succeed")</f>
        <v>Fail/Succeed</v>
      </c>
      <c r="G300" s="16"/>
      <c r="H300" s="16" t="str">
        <f>IFERROR(__xludf.DUMMYFUNCTION("""COMPUTED_VALUE"""),"Twilight")</f>
        <v>Twilight</v>
      </c>
    </row>
    <row r="301">
      <c r="A301" s="16" t="str">
        <f>IFERROR(__xludf.DUMMYFUNCTION("""COMPUTED_VALUE"""),"Twilight Shield")</f>
        <v>Twilight Shield</v>
      </c>
      <c r="B301" s="16">
        <f>IFERROR(__xludf.DUMMYFUNCTION("""COMPUTED_VALUE"""),5.0)</f>
        <v>5</v>
      </c>
      <c r="C301" s="16">
        <f>IFERROR(__xludf.DUMMYFUNCTION("""COMPUTED_VALUE"""),50.0)</f>
        <v>50</v>
      </c>
      <c r="D301" s="16"/>
      <c r="E301" s="16" t="str">
        <f>IFERROR(__xludf.DUMMYFUNCTION("""COMPUTED_VALUE""")," X2 def, gives immunity to dark and light for self")</f>
        <v> X2 def, gives immunity to dark and light for self</v>
      </c>
      <c r="F301" s="16" t="str">
        <f>IFERROR(__xludf.DUMMYFUNCTION("""COMPUTED_VALUE"""),"Will Succeed")</f>
        <v>Will Succeed</v>
      </c>
      <c r="G301" s="16"/>
      <c r="H301" s="16" t="str">
        <f>IFERROR(__xludf.DUMMYFUNCTION("""COMPUTED_VALUE"""),"Twilight")</f>
        <v>Twilight</v>
      </c>
    </row>
    <row r="302">
      <c r="A302" s="16" t="str">
        <f>IFERROR(__xludf.DUMMYFUNCTION("""COMPUTED_VALUE"""),"Twilight Transformation")</f>
        <v>Twilight Transformation</v>
      </c>
      <c r="B302" s="16">
        <f>IFERROR(__xludf.DUMMYFUNCTION("""COMPUTED_VALUE"""),8.0)</f>
        <v>8</v>
      </c>
      <c r="C302" s="16">
        <f>IFERROR(__xludf.DUMMYFUNCTION("""COMPUTED_VALUE"""),200.0)</f>
        <v>200</v>
      </c>
      <c r="D302" s="16"/>
      <c r="E302" s="16" t="str">
        <f>IFERROR(__xludf.DUMMYFUNCTION("""COMPUTED_VALUE"""),"Grants X4 light and dark damage to twilight spells and weapons for the caster until end of battle.")</f>
        <v>Grants X4 light and dark damage to twilight spells and weapons for the caster until end of battle.</v>
      </c>
      <c r="F302" s="16" t="str">
        <f>IFERROR(__xludf.DUMMYFUNCTION("""COMPUTED_VALUE"""),"Will Succeed")</f>
        <v>Will Succeed</v>
      </c>
      <c r="G302" s="16"/>
      <c r="H302" s="16" t="str">
        <f>IFERROR(__xludf.DUMMYFUNCTION("""COMPUTED_VALUE"""),"Twilight")</f>
        <v>Twilight</v>
      </c>
    </row>
    <row r="303">
      <c r="A303" s="16" t="str">
        <f>IFERROR(__xludf.DUMMYFUNCTION("""COMPUTED_VALUE"""),"1000 Poisons Body")</f>
        <v>1000 Poisons Body</v>
      </c>
      <c r="B303" s="16">
        <f>IFERROR(__xludf.DUMMYFUNCTION("""COMPUTED_VALUE"""),8.0)</f>
        <v>8</v>
      </c>
      <c r="C303" s="16">
        <f>IFERROR(__xludf.DUMMYFUNCTION("""COMPUTED_VALUE"""),500.0)</f>
        <v>500</v>
      </c>
      <c r="D303" s="16"/>
      <c r="E30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303" s="16" t="str">
        <f>IFERROR(__xludf.DUMMYFUNCTION("""COMPUTED_VALUE"""),"Will Succeed")</f>
        <v>Will Succeed</v>
      </c>
      <c r="G303" s="16" t="str">
        <f>IFERROR(__xludf.DUMMYFUNCTION("""COMPUTED_VALUE"""),"Self")</f>
        <v>Self</v>
      </c>
      <c r="H303" s="16" t="str">
        <f>IFERROR(__xludf.DUMMYFUNCTION("""COMPUTED_VALUE"""),"Voodoo")</f>
        <v>Voodoo</v>
      </c>
    </row>
    <row r="304">
      <c r="A304" s="16" t="str">
        <f>IFERROR(__xludf.DUMMYFUNCTION("""COMPUTED_VALUE"""),"Banish")</f>
        <v>Banish</v>
      </c>
      <c r="B304" s="16">
        <f>IFERROR(__xludf.DUMMYFUNCTION("""COMPUTED_VALUE"""),9.0)</f>
        <v>9</v>
      </c>
      <c r="C304" s="16">
        <f>IFERROR(__xludf.DUMMYFUNCTION("""COMPUTED_VALUE"""),2000.0)</f>
        <v>2000</v>
      </c>
      <c r="D304" s="16"/>
      <c r="E304" s="16" t="str">
        <f>IFERROR(__xludf.DUMMYFUNCTION("""COMPUTED_VALUE"""),"Banish 1 target.")</f>
        <v>Banish 1 target.</v>
      </c>
      <c r="F304" s="16" t="str">
        <f>IFERROR(__xludf.DUMMYFUNCTION("""COMPUTED_VALUE"""),"Fail/succeed")</f>
        <v>Fail/succeed</v>
      </c>
      <c r="G304" s="16"/>
      <c r="H304" s="16" t="str">
        <f>IFERROR(__xludf.DUMMYFUNCTION("""COMPUTED_VALUE"""),"Voodoo")</f>
        <v>Voodoo</v>
      </c>
    </row>
    <row r="305">
      <c r="A305" s="16" t="str">
        <f>IFERROR(__xludf.DUMMYFUNCTION("""COMPUTED_VALUE"""),"Blast of Despair")</f>
        <v>Blast of Despair</v>
      </c>
      <c r="B305" s="16">
        <f>IFERROR(__xludf.DUMMYFUNCTION("""COMPUTED_VALUE"""),6.0)</f>
        <v>6</v>
      </c>
      <c r="C305" s="16" t="str">
        <f>IFERROR(__xludf.DUMMYFUNCTION("""COMPUTED_VALUE"""),"X")</f>
        <v>X</v>
      </c>
      <c r="D305" s="16"/>
      <c r="E30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305" s="16" t="str">
        <f>IFERROR(__xludf.DUMMYFUNCTION("""COMPUTED_VALUE"""),"Hit/Miss")</f>
        <v>Hit/Miss</v>
      </c>
      <c r="G305" s="16">
        <f>IFERROR(__xludf.DUMMYFUNCTION("""COMPUTED_VALUE"""),1.0)</f>
        <v>1</v>
      </c>
      <c r="H305" s="16" t="str">
        <f>IFERROR(__xludf.DUMMYFUNCTION("""COMPUTED_VALUE"""),"Voodoo")</f>
        <v>Voodoo</v>
      </c>
    </row>
    <row r="306">
      <c r="A306" s="16" t="str">
        <f>IFERROR(__xludf.DUMMYFUNCTION("""COMPUTED_VALUE"""),"Contagion")</f>
        <v>Contagion</v>
      </c>
      <c r="B306" s="16">
        <f>IFERROR(__xludf.DUMMYFUNCTION("""COMPUTED_VALUE"""),5.0)</f>
        <v>5</v>
      </c>
      <c r="C306" s="16">
        <f>IFERROR(__xludf.DUMMYFUNCTION("""COMPUTED_VALUE"""),100.0)</f>
        <v>100</v>
      </c>
      <c r="D306" s="16"/>
      <c r="E306" s="16" t="str">
        <f>IFERROR(__xludf.DUMMYFUNCTION("""COMPUTED_VALUE"""),"Unleashes a Plague onto the Battlefield Infecting all enemies causing them to take Poison 5000 for 3 rounds")</f>
        <v>Unleashes a Plague onto the Battlefield Infecting all enemies causing them to take Poison 5000 for 3 rounds</v>
      </c>
      <c r="F306" s="16" t="str">
        <f>IFERROR(__xludf.DUMMYFUNCTION("""COMPUTED_VALUE"""),"Fail/Succeed")</f>
        <v>Fail/Succeed</v>
      </c>
      <c r="G306" s="16" t="str">
        <f>IFERROR(__xludf.DUMMYFUNCTION("""COMPUTED_VALUE"""),"All")</f>
        <v>All</v>
      </c>
      <c r="H306" s="16" t="str">
        <f>IFERROR(__xludf.DUMMYFUNCTION("""COMPUTED_VALUE"""),"Voodoo")</f>
        <v>Voodoo</v>
      </c>
    </row>
    <row r="307">
      <c r="A307" s="16" t="str">
        <f>IFERROR(__xludf.DUMMYFUNCTION("""COMPUTED_VALUE"""),"End The Voodoo Contract")</f>
        <v>End The Voodoo Contract</v>
      </c>
      <c r="B307" s="16">
        <f>IFERROR(__xludf.DUMMYFUNCTION("""COMPUTED_VALUE"""),9.0)</f>
        <v>9</v>
      </c>
      <c r="C307" s="16">
        <f>IFERROR(__xludf.DUMMYFUNCTION("""COMPUTED_VALUE"""),500.0)</f>
        <v>500</v>
      </c>
      <c r="D307" s="16"/>
      <c r="E307" s="16" t="str">
        <f>IFERROR(__xludf.DUMMYFUNCTION("""COMPUTED_VALUE"""),"Caster dies and the target dies too.")</f>
        <v>Caster dies and the target dies too.</v>
      </c>
      <c r="F307" s="16" t="str">
        <f>IFERROR(__xludf.DUMMYFUNCTION("""COMPUTED_VALUE"""),"Fail/Succeed")</f>
        <v>Fail/Succeed</v>
      </c>
      <c r="G307" s="16"/>
      <c r="H307" s="16" t="str">
        <f>IFERROR(__xludf.DUMMYFUNCTION("""COMPUTED_VALUE"""),"Voodoo")</f>
        <v>Voodoo</v>
      </c>
    </row>
    <row r="308">
      <c r="A308" s="16" t="str">
        <f>IFERROR(__xludf.DUMMYFUNCTION("""COMPUTED_VALUE"""),"Enrapture")</f>
        <v>Enrapture</v>
      </c>
      <c r="B308" s="16">
        <f>IFERROR(__xludf.DUMMYFUNCTION("""COMPUTED_VALUE"""),7.0)</f>
        <v>7</v>
      </c>
      <c r="C308" s="16">
        <f>IFERROR(__xludf.DUMMYFUNCTION("""COMPUTED_VALUE"""),300.0)</f>
        <v>300</v>
      </c>
      <c r="D308" s="16"/>
      <c r="E30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308" s="16" t="str">
        <f>IFERROR(__xludf.DUMMYFUNCTION("""COMPUTED_VALUE"""),"Fail/Succeed")</f>
        <v>Fail/Succeed</v>
      </c>
      <c r="G308" s="16"/>
      <c r="H308" s="16" t="str">
        <f>IFERROR(__xludf.DUMMYFUNCTION("""COMPUTED_VALUE"""),"Voodoo")</f>
        <v>Voodoo</v>
      </c>
    </row>
    <row r="309">
      <c r="A309" s="16" t="str">
        <f>IFERROR(__xludf.DUMMYFUNCTION("""COMPUTED_VALUE"""),"Good Fortune")</f>
        <v>Good Fortune</v>
      </c>
      <c r="B309" s="16">
        <f>IFERROR(__xludf.DUMMYFUNCTION("""COMPUTED_VALUE"""),5.0)</f>
        <v>5</v>
      </c>
      <c r="C309" s="16">
        <f>IFERROR(__xludf.DUMMYFUNCTION("""COMPUTED_VALUE"""),50.0)</f>
        <v>50</v>
      </c>
      <c r="D309" s="16"/>
      <c r="E309" s="16" t="str">
        <f>IFERROR(__xludf.DUMMYFUNCTION("""COMPUTED_VALUE"""),"25% chance to gain an extra loot roll. You must activate this effect before the end of battle.")</f>
        <v>25% chance to gain an extra loot roll. You must activate this effect before the end of battle.</v>
      </c>
      <c r="F309" s="16" t="str">
        <f>IFERROR(__xludf.DUMMYFUNCTION("""COMPUTED_VALUE"""),"Will Succeed")</f>
        <v>Will Succeed</v>
      </c>
      <c r="G309" s="16"/>
      <c r="H309" s="16" t="str">
        <f>IFERROR(__xludf.DUMMYFUNCTION("""COMPUTED_VALUE"""),"Voodoo")</f>
        <v>Voodoo</v>
      </c>
    </row>
    <row r="310">
      <c r="A310" s="16" t="str">
        <f>IFERROR(__xludf.DUMMYFUNCTION("""COMPUTED_VALUE"""),"Hex")</f>
        <v>Hex</v>
      </c>
      <c r="B310" s="16">
        <f>IFERROR(__xludf.DUMMYFUNCTION("""COMPUTED_VALUE"""),5.0)</f>
        <v>5</v>
      </c>
      <c r="C310" s="16" t="str">
        <f>IFERROR(__xludf.DUMMYFUNCTION("""COMPUTED_VALUE"""),"X")</f>
        <v>X</v>
      </c>
      <c r="D310" s="16"/>
      <c r="E310" s="16" t="str">
        <f>IFERROR(__xludf.DUMMYFUNCTION("""COMPUTED_VALUE"""),"Deals X*50 Voodoo damage per round for 3 rounds to a single target where X is equal to SP spent.")</f>
        <v>Deals X*50 Voodoo damage per round for 3 rounds to a single target where X is equal to SP spent.</v>
      </c>
      <c r="F310" s="16" t="str">
        <f>IFERROR(__xludf.DUMMYFUNCTION("""COMPUTED_VALUE"""),"Hit/Miss")</f>
        <v>Hit/Miss</v>
      </c>
      <c r="G310" s="16">
        <f>IFERROR(__xludf.DUMMYFUNCTION("""COMPUTED_VALUE"""),1.0)</f>
        <v>1</v>
      </c>
      <c r="H310" s="16" t="str">
        <f>IFERROR(__xludf.DUMMYFUNCTION("""COMPUTED_VALUE"""),"Voodoo")</f>
        <v>Voodoo</v>
      </c>
    </row>
    <row r="311">
      <c r="A311" s="16" t="str">
        <f>IFERROR(__xludf.DUMMYFUNCTION("""COMPUTED_VALUE"""),"Hex With Bad Luck")</f>
        <v>Hex With Bad Luck</v>
      </c>
      <c r="B311" s="16">
        <f>IFERROR(__xludf.DUMMYFUNCTION("""COMPUTED_VALUE"""),1.0)</f>
        <v>1</v>
      </c>
      <c r="C311" s="16">
        <f>IFERROR(__xludf.DUMMYFUNCTION("""COMPUTED_VALUE"""),10.0)</f>
        <v>10</v>
      </c>
      <c r="D311" s="16"/>
      <c r="E311" s="16" t="str">
        <f>IFERROR(__xludf.DUMMYFUNCTION("""COMPUTED_VALUE"""),"Target Halfs their d20 rolls for 3 rounds")</f>
        <v>Target Halfs their d20 rolls for 3 rounds</v>
      </c>
      <c r="F311" s="16" t="str">
        <f>IFERROR(__xludf.DUMMYFUNCTION("""COMPUTED_VALUE"""),"Fail/Succeed")</f>
        <v>Fail/Succeed</v>
      </c>
      <c r="G311" s="16"/>
      <c r="H311" s="16" t="str">
        <f>IFERROR(__xludf.DUMMYFUNCTION("""COMPUTED_VALUE"""),"Voodoo")</f>
        <v>Voodoo</v>
      </c>
    </row>
    <row r="312">
      <c r="A312" s="16" t="str">
        <f>IFERROR(__xludf.DUMMYFUNCTION("""COMPUTED_VALUE"""),"Last Chance")</f>
        <v>Last Chance</v>
      </c>
      <c r="B312" s="16">
        <f>IFERROR(__xludf.DUMMYFUNCTION("""COMPUTED_VALUE"""),5.0)</f>
        <v>5</v>
      </c>
      <c r="C312" s="16">
        <f>IFERROR(__xludf.DUMMYFUNCTION("""COMPUTED_VALUE"""),200.0)</f>
        <v>200</v>
      </c>
      <c r="D312" s="16"/>
      <c r="E312" s="16" t="str">
        <f>IFERROR(__xludf.DUMMYFUNCTION("""COMPUTED_VALUE"""),"1d2 enemies cannot use spells for 3 rounds.")</f>
        <v>1d2 enemies cannot use spells for 3 rounds.</v>
      </c>
      <c r="F312" s="16" t="str">
        <f>IFERROR(__xludf.DUMMYFUNCTION("""COMPUTED_VALUE"""),"Fail or Succeed")</f>
        <v>Fail or Succeed</v>
      </c>
      <c r="G312" s="16" t="str">
        <f>IFERROR(__xludf.DUMMYFUNCTION("""COMPUTED_VALUE"""),"1 or 2")</f>
        <v>1 or 2</v>
      </c>
      <c r="H312" s="16" t="str">
        <f>IFERROR(__xludf.DUMMYFUNCTION("""COMPUTED_VALUE"""),"Voodoo")</f>
        <v>Voodoo</v>
      </c>
    </row>
    <row r="313">
      <c r="A313" s="16" t="str">
        <f>IFERROR(__xludf.DUMMYFUNCTION("""COMPUTED_VALUE"""),"Last Gamble")</f>
        <v>Last Gamble</v>
      </c>
      <c r="B313" s="16">
        <f>IFERROR(__xludf.DUMMYFUNCTION("""COMPUTED_VALUE"""),9.0)</f>
        <v>9</v>
      </c>
      <c r="C313" s="16">
        <f>IFERROR(__xludf.DUMMYFUNCTION("""COMPUTED_VALUE"""),1000.0)</f>
        <v>1000</v>
      </c>
      <c r="D313" s="16"/>
      <c r="E313" s="16" t="str">
        <f>IFERROR(__xludf.DUMMYFUNCTION("""COMPUTED_VALUE"""),"All enemies Cannot use any spells for the rest of the battle.")</f>
        <v>All enemies Cannot use any spells for the rest of the battle.</v>
      </c>
      <c r="F313" s="16" t="str">
        <f>IFERROR(__xludf.DUMMYFUNCTION("""COMPUTED_VALUE"""),"Fail/Succeed")</f>
        <v>Fail/Succeed</v>
      </c>
      <c r="G313" s="16"/>
      <c r="H313" s="16" t="str">
        <f>IFERROR(__xludf.DUMMYFUNCTION("""COMPUTED_VALUE"""),"Voodoo")</f>
        <v>Voodoo</v>
      </c>
    </row>
    <row r="314">
      <c r="A314" s="16" t="str">
        <f>IFERROR(__xludf.DUMMYFUNCTION("""COMPUTED_VALUE"""),"Mass Hex")</f>
        <v>Mass Hex</v>
      </c>
      <c r="B314" s="16">
        <f>IFERROR(__xludf.DUMMYFUNCTION("""COMPUTED_VALUE"""),6.0)</f>
        <v>6</v>
      </c>
      <c r="C314" s="16" t="str">
        <f>IFERROR(__xludf.DUMMYFUNCTION("""COMPUTED_VALUE"""),"X")</f>
        <v>X</v>
      </c>
      <c r="D314" s="16"/>
      <c r="E314" s="16" t="str">
        <f>IFERROR(__xludf.DUMMYFUNCTION("""COMPUTED_VALUE"""),"Deals X*10 Voodoo damage per round to all enemies for 3 rounds where X is equal to SP spent.")</f>
        <v>Deals X*10 Voodoo damage per round to all enemies for 3 rounds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IFERROR(__xludf.DUMMYFUNCTION("""COMPUTED_VALUE"""),"Multi Banishment")</f>
        <v>Multi Banishment</v>
      </c>
      <c r="B315" s="16">
        <f>IFERROR(__xludf.DUMMYFUNCTION("""COMPUTED_VALUE"""),9.0)</f>
        <v>9</v>
      </c>
      <c r="C315" s="16" t="str">
        <f>IFERROR(__xludf.DUMMYFUNCTION("""COMPUTED_VALUE"""),"X*2000")</f>
        <v>X*2000</v>
      </c>
      <c r="D315" s="16"/>
      <c r="E315" s="16" t="str">
        <f>IFERROR(__xludf.DUMMYFUNCTION("""COMPUTED_VALUE"""),"Banish up to 5 targets.")</f>
        <v>Banish up to 5 targets.</v>
      </c>
      <c r="F315" s="16" t="str">
        <f>IFERROR(__xludf.DUMMYFUNCTION("""COMPUTED_VALUE"""),"Fail/succeed")</f>
        <v>Fail/succeed</v>
      </c>
      <c r="G315" s="16"/>
      <c r="H315" s="16" t="str">
        <f>IFERROR(__xludf.DUMMYFUNCTION("""COMPUTED_VALUE"""),"Voodoo")</f>
        <v>Voodoo</v>
      </c>
    </row>
    <row r="316">
      <c r="A316" s="16" t="str">
        <f>IFERROR(__xludf.DUMMYFUNCTION("""COMPUTED_VALUE"""),"Mutagen")</f>
        <v>Mutagen</v>
      </c>
      <c r="B316" s="16">
        <f>IFERROR(__xludf.DUMMYFUNCTION("""COMPUTED_VALUE"""),6.0)</f>
        <v>6</v>
      </c>
      <c r="C316" s="16">
        <f>IFERROR(__xludf.DUMMYFUNCTION("""COMPUTED_VALUE"""),100.0)</f>
        <v>100</v>
      </c>
      <c r="D316" s="16"/>
      <c r="E31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16" s="16" t="str">
        <f>IFERROR(__xludf.DUMMYFUNCTION("""COMPUTED_VALUE"""),"Will Succeed")</f>
        <v>Will Succeed</v>
      </c>
      <c r="G316" s="16" t="str">
        <f>IFERROR(__xludf.DUMMYFUNCTION("""COMPUTED_VALUE"""),"self")</f>
        <v>self</v>
      </c>
      <c r="H316" s="16" t="str">
        <f>IFERROR(__xludf.DUMMYFUNCTION("""COMPUTED_VALUE"""),"Voodoo")</f>
        <v>Voodoo</v>
      </c>
    </row>
    <row r="317">
      <c r="A317" s="16" t="str">
        <f>IFERROR(__xludf.DUMMYFUNCTION("""COMPUTED_VALUE"""),"Poison Flask")</f>
        <v>Poison Flask</v>
      </c>
      <c r="B317" s="16">
        <f>IFERROR(__xludf.DUMMYFUNCTION("""COMPUTED_VALUE"""),3.0)</f>
        <v>3</v>
      </c>
      <c r="C317" s="16">
        <f>IFERROR(__xludf.DUMMYFUNCTION("""COMPUTED_VALUE"""),50.0)</f>
        <v>50</v>
      </c>
      <c r="D317" s="16"/>
      <c r="E317" s="16" t="str">
        <f>IFERROR(__xludf.DUMMYFUNCTION("""COMPUTED_VALUE"""),"Throw a flask of viscous poison, Shattering it on your enemies and inflicting Poison 3000 for 3 rounds")</f>
        <v>Throw a flask of viscous poison, Shattering it on your enemies and inflicting Poison 3000 for 3 rounds</v>
      </c>
      <c r="F317" s="16" t="str">
        <f>IFERROR(__xludf.DUMMYFUNCTION("""COMPUTED_VALUE"""),"Hit/Miss")</f>
        <v>Hit/Miss</v>
      </c>
      <c r="G317" s="16">
        <f>IFERROR(__xludf.DUMMYFUNCTION("""COMPUTED_VALUE"""),1.0)</f>
        <v>1</v>
      </c>
      <c r="H317" s="16" t="str">
        <f>IFERROR(__xludf.DUMMYFUNCTION("""COMPUTED_VALUE"""),"Voodoo")</f>
        <v>Voodoo</v>
      </c>
    </row>
    <row r="318">
      <c r="A318" s="16" t="str">
        <f>IFERROR(__xludf.DUMMYFUNCTION("""COMPUTED_VALUE"""),"Rejuvenate")</f>
        <v>Rejuvenate</v>
      </c>
      <c r="B318" s="16">
        <f>IFERROR(__xludf.DUMMYFUNCTION("""COMPUTED_VALUE"""),2.0)</f>
        <v>2</v>
      </c>
      <c r="C318" s="16">
        <f>IFERROR(__xludf.DUMMYFUNCTION("""COMPUTED_VALUE"""),20.0)</f>
        <v>20</v>
      </c>
      <c r="D318" s="16"/>
      <c r="E318" s="16" t="str">
        <f>IFERROR(__xludf.DUMMYFUNCTION("""COMPUTED_VALUE"""),"Heal 2000 HP, 50% chance of contracting an Undead enemy. Max 1 Enemy.")</f>
        <v>Heal 2000 HP, 50% chance of contracting an Undead enemy. Max 1 Enemy.</v>
      </c>
      <c r="F318" s="16" t="str">
        <f>IFERROR(__xludf.DUMMYFUNCTION("""COMPUTED_VALUE"""),"Fail/Succeed")</f>
        <v>Fail/Succeed</v>
      </c>
      <c r="G318" s="16"/>
      <c r="H318" s="16" t="str">
        <f>IFERROR(__xludf.DUMMYFUNCTION("""COMPUTED_VALUE"""),"Voodoo")</f>
        <v>Voodoo</v>
      </c>
    </row>
    <row r="319">
      <c r="A319" s="16" t="str">
        <f>IFERROR(__xludf.DUMMYFUNCTION("""COMPUTED_VALUE"""),"Second Chance")</f>
        <v>Second Chance</v>
      </c>
      <c r="B319" s="16">
        <f>IFERROR(__xludf.DUMMYFUNCTION("""COMPUTED_VALUE"""),9.0)</f>
        <v>9</v>
      </c>
      <c r="C319" s="16">
        <f>IFERROR(__xludf.DUMMYFUNCTION("""COMPUTED_VALUE"""),1000.0)</f>
        <v>1000</v>
      </c>
      <c r="D319" s="16"/>
      <c r="E31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19" s="16" t="str">
        <f>IFERROR(__xludf.DUMMYFUNCTION("""COMPUTED_VALUE"""),"Will Succeed")</f>
        <v>Will Succeed</v>
      </c>
      <c r="G319" s="16"/>
      <c r="H319" s="16" t="str">
        <f>IFERROR(__xludf.DUMMYFUNCTION("""COMPUTED_VALUE"""),"Voodoo")</f>
        <v>Voodoo</v>
      </c>
    </row>
    <row r="320">
      <c r="A320" s="16" t="str">
        <f>IFERROR(__xludf.DUMMYFUNCTION("""COMPUTED_VALUE"""),"Stand in")</f>
        <v>Stand in</v>
      </c>
      <c r="B320" s="16">
        <f>IFERROR(__xludf.DUMMYFUNCTION("""COMPUTED_VALUE"""),9.0)</f>
        <v>9</v>
      </c>
      <c r="C320" s="16">
        <f>IFERROR(__xludf.DUMMYFUNCTION("""COMPUTED_VALUE"""),1000.0)</f>
        <v>1000</v>
      </c>
      <c r="D320" s="16"/>
      <c r="E32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20" s="16" t="str">
        <f>IFERROR(__xludf.DUMMYFUNCTION("""COMPUTED_VALUE"""),"Fail/Succeed")</f>
        <v>Fail/Succeed</v>
      </c>
      <c r="G320" s="16"/>
      <c r="H320" s="16" t="str">
        <f>IFERROR(__xludf.DUMMYFUNCTION("""COMPUTED_VALUE"""),"Voodoo")</f>
        <v>Voodoo</v>
      </c>
    </row>
    <row r="321">
      <c r="A321" s="16" t="str">
        <f>IFERROR(__xludf.DUMMYFUNCTION("""COMPUTED_VALUE"""),"Tower Of Karma")</f>
        <v>Tower Of Karma</v>
      </c>
      <c r="B321" s="16">
        <f>IFERROR(__xludf.DUMMYFUNCTION("""COMPUTED_VALUE"""),8.0)</f>
        <v>8</v>
      </c>
      <c r="C321" s="16">
        <f>IFERROR(__xludf.DUMMYFUNCTION("""COMPUTED_VALUE"""),400.0)</f>
        <v>400</v>
      </c>
      <c r="D321" s="16"/>
      <c r="E32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21" s="16" t="str">
        <f>IFERROR(__xludf.DUMMYFUNCTION("""COMPUTED_VALUE"""),"Hit or Miss")</f>
        <v>Hit or Miss</v>
      </c>
      <c r="G321" s="16">
        <f>IFERROR(__xludf.DUMMYFUNCTION("""COMPUTED_VALUE"""),1.0)</f>
        <v>1</v>
      </c>
      <c r="H321" s="16" t="str">
        <f>IFERROR(__xludf.DUMMYFUNCTION("""COMPUTED_VALUE"""),"Voodoo")</f>
        <v>Voodoo</v>
      </c>
    </row>
    <row r="322">
      <c r="A322" s="16" t="str">
        <f>IFERROR(__xludf.DUMMYFUNCTION("""COMPUTED_VALUE"""),"Transfer")</f>
        <v>Transfer</v>
      </c>
      <c r="B322" s="16">
        <f>IFERROR(__xludf.DUMMYFUNCTION("""COMPUTED_VALUE"""),9.0)</f>
        <v>9</v>
      </c>
      <c r="C322" s="16">
        <f>IFERROR(__xludf.DUMMYFUNCTION("""COMPUTED_VALUE"""),500.0)</f>
        <v>500</v>
      </c>
      <c r="D322" s="16"/>
      <c r="E322" s="16" t="str">
        <f>IFERROR(__xludf.DUMMYFUNCTION("""COMPUTED_VALUE"""),"Allows the caster to transfer a curse from one target on to another target. Cannot be used on self.")</f>
        <v>Allows the caster to transfer a curse from one target on to another target. Cannot be used on self.</v>
      </c>
      <c r="F322" s="16" t="str">
        <f>IFERROR(__xludf.DUMMYFUNCTION("""COMPUTED_VALUE"""),"Fail/Succeed")</f>
        <v>Fail/Succeed</v>
      </c>
      <c r="G322" s="16"/>
      <c r="H322" s="16" t="str">
        <f>IFERROR(__xludf.DUMMYFUNCTION("""COMPUTED_VALUE"""),"Voodoo")</f>
        <v>Voodoo</v>
      </c>
    </row>
    <row r="323">
      <c r="A323" s="16" t="str">
        <f>IFERROR(__xludf.DUMMYFUNCTION("""COMPUTED_VALUE"""),"Transform Enemy Curse")</f>
        <v>Transform Enemy Curse</v>
      </c>
      <c r="B323" s="16">
        <f>IFERROR(__xludf.DUMMYFUNCTION("""COMPUTED_VALUE"""),3.0)</f>
        <v>3</v>
      </c>
      <c r="C323" s="16">
        <f>IFERROR(__xludf.DUMMYFUNCTION("""COMPUTED_VALUE"""),30.0)</f>
        <v>30</v>
      </c>
      <c r="D323" s="16"/>
      <c r="E32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23" s="16" t="str">
        <f>IFERROR(__xludf.DUMMYFUNCTION("""COMPUTED_VALUE"""),"Fail or Succeed")</f>
        <v>Fail or Succeed</v>
      </c>
      <c r="G323" s="16"/>
      <c r="H323" s="16" t="str">
        <f>IFERROR(__xludf.DUMMYFUNCTION("""COMPUTED_VALUE"""),"Voodoo")</f>
        <v>Voodoo</v>
      </c>
    </row>
    <row r="324">
      <c r="A324" s="16" t="str">
        <f>IFERROR(__xludf.DUMMYFUNCTION("""COMPUTED_VALUE"""),"Voodoo Meteor Shower")</f>
        <v>Voodoo Meteor Shower</v>
      </c>
      <c r="B324" s="16">
        <f>IFERROR(__xludf.DUMMYFUNCTION("""COMPUTED_VALUE"""),5.0)</f>
        <v>5</v>
      </c>
      <c r="C324" s="16" t="str">
        <f>IFERROR(__xludf.DUMMYFUNCTION("""COMPUTED_VALUE"""),"X")</f>
        <v>X</v>
      </c>
      <c r="D324" s="16"/>
      <c r="E324" s="16" t="str">
        <f>IFERROR(__xludf.DUMMYFUNCTION("""COMPUTED_VALUE"""),"Deals X*25 Voodoo damage to all enemies where X is equal to SP spent.")</f>
        <v>Deals X*25 Voodoo damage to all enemies where X is equal to SP spent.</v>
      </c>
      <c r="F324" s="16" t="str">
        <f>IFERROR(__xludf.DUMMYFUNCTION("""COMPUTED_VALUE"""),"Cannot Avoid")</f>
        <v>Cannot Avoid</v>
      </c>
      <c r="G324" s="16" t="str">
        <f>IFERROR(__xludf.DUMMYFUNCTION("""COMPUTED_VALUE"""),"All")</f>
        <v>All</v>
      </c>
      <c r="H324" s="16" t="str">
        <f>IFERROR(__xludf.DUMMYFUNCTION("""COMPUTED_VALUE"""),"Voodoo")</f>
        <v>Voodoo</v>
      </c>
    </row>
    <row r="325">
      <c r="A325" s="16" t="str">
        <f>IFERROR(__xludf.DUMMYFUNCTION("""COMPUTED_VALUE"""),"Voodoo Needle")</f>
        <v>Voodoo Needle</v>
      </c>
      <c r="B325" s="16">
        <f>IFERROR(__xludf.DUMMYFUNCTION("""COMPUTED_VALUE"""),1.0)</f>
        <v>1</v>
      </c>
      <c r="C325" s="16" t="str">
        <f>IFERROR(__xludf.DUMMYFUNCTION("""COMPUTED_VALUE"""),"X")</f>
        <v>X</v>
      </c>
      <c r="D325" s="16"/>
      <c r="E325" s="16" t="str">
        <f>IFERROR(__xludf.DUMMYFUNCTION("""COMPUTED_VALUE"""),"Deals X*100 Voodoo damage to a single enemy where X is equal to SP spent.")</f>
        <v>Deals X*100 Voodoo damage to a single enemy where X is equal to SP spent.</v>
      </c>
      <c r="F325" s="16" t="str">
        <f>IFERROR(__xludf.DUMMYFUNCTION("""COMPUTED_VALUE"""),"Hit/Miss")</f>
        <v>Hit/Miss</v>
      </c>
      <c r="G325" s="16">
        <f>IFERROR(__xludf.DUMMYFUNCTION("""COMPUTED_VALUE"""),1.0)</f>
        <v>1</v>
      </c>
      <c r="H325" s="16" t="str">
        <f>IFERROR(__xludf.DUMMYFUNCTION("""COMPUTED_VALUE"""),"Voodoo")</f>
        <v>Voodoo</v>
      </c>
    </row>
    <row r="326">
      <c r="A326" s="16" t="str">
        <f>IFERROR(__xludf.DUMMYFUNCTION("""COMPUTED_VALUE"""),"Voodoo Ritual of Raise The Dead")</f>
        <v>Voodoo Ritual of Raise The Dead</v>
      </c>
      <c r="B326" s="16">
        <f>IFERROR(__xludf.DUMMYFUNCTION("""COMPUTED_VALUE"""),6.0)</f>
        <v>6</v>
      </c>
      <c r="C326" s="16">
        <f>IFERROR(__xludf.DUMMYFUNCTION("""COMPUTED_VALUE"""),60.0)</f>
        <v>60</v>
      </c>
      <c r="D326" s="16"/>
      <c r="E326" s="16" t="str">
        <f>IFERROR(__xludf.DUMMYFUNCTION("""COMPUTED_VALUE"""),"Raise a dead enemy to fight by your side.")</f>
        <v>Raise a dead enemy to fight by your side.</v>
      </c>
      <c r="F326" s="16" t="str">
        <f>IFERROR(__xludf.DUMMYFUNCTION("""COMPUTED_VALUE"""),"Fail/succeed")</f>
        <v>Fail/succeed</v>
      </c>
      <c r="G326" s="16"/>
      <c r="H326" s="16" t="str">
        <f>IFERROR(__xludf.DUMMYFUNCTION("""COMPUTED_VALUE"""),"Voodoo")</f>
        <v>Voodoo</v>
      </c>
    </row>
    <row r="327">
      <c r="A327" s="16" t="str">
        <f>IFERROR(__xludf.DUMMYFUNCTION("""COMPUTED_VALUE"""),"Warcrimes")</f>
        <v>Warcrimes</v>
      </c>
      <c r="B327" s="16">
        <f>IFERROR(__xludf.DUMMYFUNCTION("""COMPUTED_VALUE"""),9.0)</f>
        <v>9</v>
      </c>
      <c r="C327" s="16">
        <f>IFERROR(__xludf.DUMMYFUNCTION("""COMPUTED_VALUE"""),200.0)</f>
        <v>200</v>
      </c>
      <c r="D327" s="16"/>
      <c r="E32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27" s="16" t="str">
        <f>IFERROR(__xludf.DUMMYFUNCTION("""COMPUTED_VALUE"""),"Will Succeed")</f>
        <v>Will Succeed</v>
      </c>
      <c r="G327" s="16" t="str">
        <f>IFERROR(__xludf.DUMMYFUNCTION("""COMPUTED_VALUE"""),"All")</f>
        <v>All</v>
      </c>
      <c r="H327" s="16" t="str">
        <f>IFERROR(__xludf.DUMMYFUNCTION("""COMPUTED_VALUE"""),"Voodoo")</f>
        <v>Voodoo</v>
      </c>
    </row>
    <row r="328">
      <c r="A328" s="16" t="str">
        <f>IFERROR(__xludf.DUMMYFUNCTION("""COMPUTED_VALUE"""),"Weight Shift")</f>
        <v>Weight Shift</v>
      </c>
      <c r="B328" s="16">
        <f>IFERROR(__xludf.DUMMYFUNCTION("""COMPUTED_VALUE"""),4.0)</f>
        <v>4</v>
      </c>
      <c r="C328" s="16">
        <f>IFERROR(__xludf.DUMMYFUNCTION("""COMPUTED_VALUE"""),40.0)</f>
        <v>40</v>
      </c>
      <c r="D328" s="16"/>
      <c r="E328" s="16" t="str">
        <f>IFERROR(__xludf.DUMMYFUNCTION("""COMPUTED_VALUE"""),"Shift the weight of your enemy for 3 rounds, lowers their evasion by 5.")</f>
        <v>Shift the weight of your enemy for 3 rounds, lowers their evasion by 5.</v>
      </c>
      <c r="F328" s="16" t="str">
        <f>IFERROR(__xludf.DUMMYFUNCTION("""COMPUTED_VALUE"""),"Fail/succeed")</f>
        <v>Fail/succeed</v>
      </c>
      <c r="G328" s="16"/>
      <c r="H328" s="16" t="str">
        <f>IFERROR(__xludf.DUMMYFUNCTION("""COMPUTED_VALUE"""),"Voodoo")</f>
        <v>Voodoo</v>
      </c>
    </row>
    <row r="329">
      <c r="A329" s="16" t="str">
        <f>IFERROR(__xludf.DUMMYFUNCTION("""COMPUTED_VALUE"""),"Ancient Monolith Of Water")</f>
        <v>Ancient Monolith Of Water</v>
      </c>
      <c r="B329" s="16">
        <f>IFERROR(__xludf.DUMMYFUNCTION("""COMPUTED_VALUE"""),9.0)</f>
        <v>9</v>
      </c>
      <c r="C329" s="16">
        <f>IFERROR(__xludf.DUMMYFUNCTION("""COMPUTED_VALUE"""),300.0)</f>
        <v>300</v>
      </c>
      <c r="D329" s="16"/>
      <c r="E329" s="16" t="str">
        <f>IFERROR(__xludf.DUMMYFUNCTION("""COMPUTED_VALUE"""),"X4 additional water damage for caster and allies, + fire immunity to caster only for 3 rounds.")</f>
        <v>X4 additional water damage for caster and allies, + fire immunity to caster only for 3 rounds.</v>
      </c>
      <c r="F329" s="16" t="str">
        <f>IFERROR(__xludf.DUMMYFUNCTION("""COMPUTED_VALUE"""),"Fail/Succeed")</f>
        <v>Fail/Succeed</v>
      </c>
      <c r="G329" s="16"/>
      <c r="H329" s="16" t="str">
        <f>IFERROR(__xludf.DUMMYFUNCTION("""COMPUTED_VALUE"""),"Water")</f>
        <v>Water</v>
      </c>
    </row>
    <row r="330">
      <c r="A330" s="16" t="str">
        <f>IFERROR(__xludf.DUMMYFUNCTION("""COMPUTED_VALUE"""),"Aquafie")</f>
        <v>Aquafie</v>
      </c>
      <c r="B330" s="16">
        <f>IFERROR(__xludf.DUMMYFUNCTION("""COMPUTED_VALUE"""),4.0)</f>
        <v>4</v>
      </c>
      <c r="C330" s="16" t="str">
        <f>IFERROR(__xludf.DUMMYFUNCTION("""COMPUTED_VALUE"""),"X*3")</f>
        <v>X*3</v>
      </c>
      <c r="D330" s="16"/>
      <c r="E330" s="16" t="str">
        <f>IFERROR(__xludf.DUMMYFUNCTION("""COMPUTED_VALUE"""),"Target gains X*4 Water damage and X*4 Water resistance, can’t be used on self.")</f>
        <v>Target gains X*4 Water damage and X*4 Water resistance, can’t be used on self.</v>
      </c>
      <c r="F330" s="16" t="str">
        <f>IFERROR(__xludf.DUMMYFUNCTION("""COMPUTED_VALUE"""),"Will Succeed")</f>
        <v>Will Succeed</v>
      </c>
      <c r="G330" s="16"/>
      <c r="H330" s="16" t="str">
        <f>IFERROR(__xludf.DUMMYFUNCTION("""COMPUTED_VALUE"""),"Water")</f>
        <v>Water</v>
      </c>
    </row>
    <row r="331">
      <c r="A331" s="16" t="str">
        <f>IFERROR(__xludf.DUMMYFUNCTION("""COMPUTED_VALUE"""),"Avalanche")</f>
        <v>Avalanche</v>
      </c>
      <c r="B331" s="16">
        <f>IFERROR(__xludf.DUMMYFUNCTION("""COMPUTED_VALUE"""),8.0)</f>
        <v>8</v>
      </c>
      <c r="C331" s="16" t="str">
        <f>IFERROR(__xludf.DUMMYFUNCTION("""COMPUTED_VALUE"""),"X")</f>
        <v>X</v>
      </c>
      <c r="D331" s="16"/>
      <c r="E331" s="16" t="str">
        <f>IFERROR(__xludf.DUMMYFUNCTION("""COMPUTED_VALUE"""),"X*20 water damage to all enemies, Where X is equal to SP spent, 50% instant death")</f>
        <v>X*20 water damage to all enemies, Where X is equal to SP spent, 50% instant death</v>
      </c>
      <c r="F331" s="16" t="str">
        <f>IFERROR(__xludf.DUMMYFUNCTION("""COMPUTED_VALUE"""),"Not Avoidable")</f>
        <v>Not Avoidable</v>
      </c>
      <c r="G331" s="16"/>
      <c r="H331" s="16" t="str">
        <f>IFERROR(__xludf.DUMMYFUNCTION("""COMPUTED_VALUE"""),"Water")</f>
        <v>Water</v>
      </c>
    </row>
    <row r="332">
      <c r="A332" s="16" t="str">
        <f>IFERROR(__xludf.DUMMYFUNCTION("""COMPUTED_VALUE"""),"Blizzard")</f>
        <v>Blizzard</v>
      </c>
      <c r="B332" s="16">
        <f>IFERROR(__xludf.DUMMYFUNCTION("""COMPUTED_VALUE"""),6.0)</f>
        <v>6</v>
      </c>
      <c r="C332" s="16">
        <f>IFERROR(__xludf.DUMMYFUNCTION("""COMPUTED_VALUE"""),240.0)</f>
        <v>240</v>
      </c>
      <c r="D332" s="16"/>
      <c r="E332" s="16" t="str">
        <f>IFERROR(__xludf.DUMMYFUNCTION("""COMPUTED_VALUE"""),"6000 water damage to all enemies; 50% chance to freeze 1d6 enemies.")</f>
        <v>6000 water damage to all enemies; 50% chance to freeze 1d6 enemies.</v>
      </c>
      <c r="F332" s="16" t="str">
        <f>IFERROR(__xludf.DUMMYFUNCTION("""COMPUTED_VALUE"""),"Cannot Avoid")</f>
        <v>Cannot Avoid</v>
      </c>
      <c r="G332" s="16" t="str">
        <f>IFERROR(__xludf.DUMMYFUNCTION("""COMPUTED_VALUE"""),"1d6")</f>
        <v>1d6</v>
      </c>
      <c r="H332" s="16" t="str">
        <f>IFERROR(__xludf.DUMMYFUNCTION("""COMPUTED_VALUE"""),"Water")</f>
        <v>Water</v>
      </c>
    </row>
    <row r="333">
      <c r="A333" s="16" t="str">
        <f>IFERROR(__xludf.DUMMYFUNCTION("""COMPUTED_VALUE"""),"Crashing Waves")</f>
        <v>Crashing Waves</v>
      </c>
      <c r="B333" s="16">
        <f>IFERROR(__xludf.DUMMYFUNCTION("""COMPUTED_VALUE"""),9.0)</f>
        <v>9</v>
      </c>
      <c r="C333" s="16">
        <f>IFERROR(__xludf.DUMMYFUNCTION("""COMPUTED_VALUE"""),800.0)</f>
        <v>800</v>
      </c>
      <c r="D333" s="16"/>
      <c r="E333" s="16" t="str">
        <f>IFERROR(__xludf.DUMMYFUNCTION("""COMPUTED_VALUE"""),"20,000 water damage to all enemies +75% chance of instant death.")</f>
        <v>20,000 water damage to all enemies +75% chance of instant death.</v>
      </c>
      <c r="F333" s="16" t="str">
        <f>IFERROR(__xludf.DUMMYFUNCTION("""COMPUTED_VALUE"""),"Not Avoidable")</f>
        <v>Not Avoidable</v>
      </c>
      <c r="G333" s="16"/>
      <c r="H333" s="16" t="str">
        <f>IFERROR(__xludf.DUMMYFUNCTION("""COMPUTED_VALUE"""),"Water")</f>
        <v>Water</v>
      </c>
    </row>
    <row r="334">
      <c r="A334" s="16" t="str">
        <f>IFERROR(__xludf.DUMMYFUNCTION("""COMPUTED_VALUE"""),"Deep Freeze")</f>
        <v>Deep Freeze</v>
      </c>
      <c r="B334" s="16">
        <f>IFERROR(__xludf.DUMMYFUNCTION("""COMPUTED_VALUE"""),6.0)</f>
        <v>6</v>
      </c>
      <c r="C334" s="16" t="str">
        <f>IFERROR(__xludf.DUMMYFUNCTION("""COMPUTED_VALUE"""),"X")</f>
        <v>X</v>
      </c>
      <c r="D334" s="16"/>
      <c r="E334" s="16" t="str">
        <f>IFERROR(__xludf.DUMMYFUNCTION("""COMPUTED_VALUE"""),"Deals X*10 Water damage per round to all enemies for 3 rounds where X is equal to SP spent.")</f>
        <v>Deals X*10 Water damage per round to all enemies for 3 rounds where X is equal to SP spent.</v>
      </c>
      <c r="F334" s="16" t="str">
        <f>IFERROR(__xludf.DUMMYFUNCTION("""COMPUTED_VALUE"""),"Cannot Avoid")</f>
        <v>Cannot Avoid</v>
      </c>
      <c r="G334" s="16" t="str">
        <f>IFERROR(__xludf.DUMMYFUNCTION("""COMPUTED_VALUE"""),"All")</f>
        <v>All</v>
      </c>
      <c r="H334" s="16" t="str">
        <f>IFERROR(__xludf.DUMMYFUNCTION("""COMPUTED_VALUE"""),"Water")</f>
        <v>Water</v>
      </c>
    </row>
    <row r="335">
      <c r="A335" s="16" t="str">
        <f>IFERROR(__xludf.DUMMYFUNCTION("""COMPUTED_VALUE"""),"Frostbite")</f>
        <v>Frostbite</v>
      </c>
      <c r="B335" s="16">
        <f>IFERROR(__xludf.DUMMYFUNCTION("""COMPUTED_VALUE"""),5.0)</f>
        <v>5</v>
      </c>
      <c r="C335" s="16" t="str">
        <f>IFERROR(__xludf.DUMMYFUNCTION("""COMPUTED_VALUE"""),"X")</f>
        <v>X</v>
      </c>
      <c r="D335" s="16"/>
      <c r="E335" s="16" t="str">
        <f>IFERROR(__xludf.DUMMYFUNCTION("""COMPUTED_VALUE"""),"Deals X*50 Water damage per round for 3 rounds to a single target where X is equal to SP spent.")</f>
        <v>Deals X*50 Water damage per round for 3 rounds to a single target where X is equal to SP spent.</v>
      </c>
      <c r="F335" s="16" t="str">
        <f>IFERROR(__xludf.DUMMYFUNCTION("""COMPUTED_VALUE"""),"Hit/Miss")</f>
        <v>Hit/Miss</v>
      </c>
      <c r="G335" s="16">
        <f>IFERROR(__xludf.DUMMYFUNCTION("""COMPUTED_VALUE"""),1.0)</f>
        <v>1</v>
      </c>
      <c r="H335" s="16" t="str">
        <f>IFERROR(__xludf.DUMMYFUNCTION("""COMPUTED_VALUE"""),"Water")</f>
        <v>Water</v>
      </c>
    </row>
    <row r="336">
      <c r="A336" s="16" t="str">
        <f>IFERROR(__xludf.DUMMYFUNCTION("""COMPUTED_VALUE"""),"Geyser")</f>
        <v>Geyser</v>
      </c>
      <c r="B336" s="16">
        <f>IFERROR(__xludf.DUMMYFUNCTION("""COMPUTED_VALUE"""),3.0)</f>
        <v>3</v>
      </c>
      <c r="C336" s="16">
        <f>IFERROR(__xludf.DUMMYFUNCTION("""COMPUTED_VALUE"""),30.0)</f>
        <v>30</v>
      </c>
      <c r="D336" s="16"/>
      <c r="E336" s="16" t="str">
        <f>IFERROR(__xludf.DUMMYFUNCTION("""COMPUTED_VALUE"""),"3000 Damage to a single target, 50% chance they lose their next turn.")</f>
        <v>3000 Damage to a single target, 50% chance they lose their next turn.</v>
      </c>
      <c r="F336" s="16" t="str">
        <f>IFERROR(__xludf.DUMMYFUNCTION("""COMPUTED_VALUE"""),"Fail/Succeed")</f>
        <v>Fail/Succeed</v>
      </c>
      <c r="G336" s="16"/>
      <c r="H336" s="16" t="str">
        <f>IFERROR(__xludf.DUMMYFUNCTION("""COMPUTED_VALUE"""),"Water")</f>
        <v>Water</v>
      </c>
    </row>
    <row r="337">
      <c r="A337" s="16" t="str">
        <f>IFERROR(__xludf.DUMMYFUNCTION("""COMPUTED_VALUE"""),"Ice Ball")</f>
        <v>Ice Ball</v>
      </c>
      <c r="B337" s="16">
        <f>IFERROR(__xludf.DUMMYFUNCTION("""COMPUTED_VALUE"""),1.0)</f>
        <v>1</v>
      </c>
      <c r="C337" s="16">
        <f>IFERROR(__xludf.DUMMYFUNCTION("""COMPUTED_VALUE"""),10.0)</f>
        <v>10</v>
      </c>
      <c r="D337" s="16"/>
      <c r="E337" s="16" t="str">
        <f>IFERROR(__xludf.DUMMYFUNCTION("""COMPUTED_VALUE"""),"1000 water damage, 20% chance to freeze target.")</f>
        <v>1000 water damage, 20% chance to freeze target.</v>
      </c>
      <c r="F337" s="16" t="str">
        <f>IFERROR(__xludf.DUMMYFUNCTION("""COMPUTED_VALUE"""),"Hit/Miss")</f>
        <v>Hit/Miss</v>
      </c>
      <c r="G337" s="16">
        <f>IFERROR(__xludf.DUMMYFUNCTION("""COMPUTED_VALUE"""),1.0)</f>
        <v>1</v>
      </c>
      <c r="H337" s="16" t="str">
        <f>IFERROR(__xludf.DUMMYFUNCTION("""COMPUTED_VALUE"""),"Water")</f>
        <v>Water</v>
      </c>
    </row>
    <row r="338">
      <c r="A338" s="16" t="str">
        <f>IFERROR(__xludf.DUMMYFUNCTION("""COMPUTED_VALUE"""),"Icicle Spear")</f>
        <v>Icicle Spear</v>
      </c>
      <c r="B338" s="16">
        <f>IFERROR(__xludf.DUMMYFUNCTION("""COMPUTED_VALUE"""),4.0)</f>
        <v>4</v>
      </c>
      <c r="C338" s="16">
        <f>IFERROR(__xludf.DUMMYFUNCTION("""COMPUTED_VALUE"""),40.0)</f>
        <v>40</v>
      </c>
      <c r="D338" s="16"/>
      <c r="E338" s="16" t="str">
        <f>IFERROR(__xludf.DUMMYFUNCTION("""COMPUTED_VALUE"""),"4000 water damage, 50% chance to freeze target.")</f>
        <v>4000 water damage, 50% chance to freeze target.</v>
      </c>
      <c r="F338" s="16" t="str">
        <f>IFERROR(__xludf.DUMMYFUNCTION("""COMPUTED_VALUE"""),"Hit/Miss")</f>
        <v>Hit/Miss</v>
      </c>
      <c r="G338" s="16">
        <f>IFERROR(__xludf.DUMMYFUNCTION("""COMPUTED_VALUE"""),1.0)</f>
        <v>1</v>
      </c>
      <c r="H338" s="16" t="str">
        <f>IFERROR(__xludf.DUMMYFUNCTION("""COMPUTED_VALUE"""),"Water")</f>
        <v>Water</v>
      </c>
    </row>
    <row r="339">
      <c r="A339" s="16" t="str">
        <f>IFERROR(__xludf.DUMMYFUNCTION("""COMPUTED_VALUE"""),"Quench")</f>
        <v>Quench</v>
      </c>
      <c r="B339" s="16">
        <f>IFERROR(__xludf.DUMMYFUNCTION("""COMPUTED_VALUE"""),2.0)</f>
        <v>2</v>
      </c>
      <c r="C339" s="16">
        <f>IFERROR(__xludf.DUMMYFUNCTION("""COMPUTED_VALUE"""),20.0)</f>
        <v>20</v>
      </c>
      <c r="D339" s="16"/>
      <c r="E339" s="16" t="str">
        <f>IFERROR(__xludf.DUMMYFUNCTION("""COMPUTED_VALUE"""),"Negate the next incoming fire spell.")</f>
        <v>Negate the next incoming fire spell.</v>
      </c>
      <c r="F339" s="16" t="str">
        <f>IFERROR(__xludf.DUMMYFUNCTION("""COMPUTED_VALUE"""),"Fail/Succeed")</f>
        <v>Fail/Succeed</v>
      </c>
      <c r="G339" s="16"/>
      <c r="H339" s="16" t="str">
        <f>IFERROR(__xludf.DUMMYFUNCTION("""COMPUTED_VALUE"""),"Water")</f>
        <v>Water</v>
      </c>
    </row>
    <row r="340">
      <c r="A340" s="16" t="str">
        <f>IFERROR(__xludf.DUMMYFUNCTION("""COMPUTED_VALUE"""),"Torrential Downpour")</f>
        <v>Torrential Downpour</v>
      </c>
      <c r="B340" s="16">
        <f>IFERROR(__xludf.DUMMYFUNCTION("""COMPUTED_VALUE"""),5.0)</f>
        <v>5</v>
      </c>
      <c r="C340" s="16" t="str">
        <f>IFERROR(__xludf.DUMMYFUNCTION("""COMPUTED_VALUE"""),"X")</f>
        <v>X</v>
      </c>
      <c r="D340" s="16"/>
      <c r="E340" s="16" t="str">
        <f>IFERROR(__xludf.DUMMYFUNCTION("""COMPUTED_VALUE"""),"Deals X*25 Water undefendable damage to all enemies where X is equal to SP spent.")</f>
        <v>Deals X*25 Water undefendable damage to all enemies where X is equal to SP spent.</v>
      </c>
      <c r="F340" s="16" t="str">
        <f>IFERROR(__xludf.DUMMYFUNCTION("""COMPUTED_VALUE"""),"Cannot Avoid")</f>
        <v>Cannot Avoid</v>
      </c>
      <c r="G340" s="16" t="str">
        <f>IFERROR(__xludf.DUMMYFUNCTION("""COMPUTED_VALUE"""),"All")</f>
        <v>All</v>
      </c>
      <c r="H340" s="16" t="str">
        <f>IFERROR(__xludf.DUMMYFUNCTION("""COMPUTED_VALUE"""),"Water")</f>
        <v>Water</v>
      </c>
    </row>
    <row r="341">
      <c r="A341" s="16" t="str">
        <f>IFERROR(__xludf.DUMMYFUNCTION("""COMPUTED_VALUE"""),"Tower Of Atlantis")</f>
        <v>Tower Of Atlantis</v>
      </c>
      <c r="B341" s="16">
        <f>IFERROR(__xludf.DUMMYFUNCTION("""COMPUTED_VALUE"""),9.0)</f>
        <v>9</v>
      </c>
      <c r="C341" s="16">
        <f>IFERROR(__xludf.DUMMYFUNCTION("""COMPUTED_VALUE"""),500.0)</f>
        <v>500</v>
      </c>
      <c r="D341" s="16"/>
      <c r="E34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41" s="16" t="str">
        <f>IFERROR(__xludf.DUMMYFUNCTION("""COMPUTED_VALUE"""),"Hit/Miss")</f>
        <v>Hit/Miss</v>
      </c>
      <c r="G341" s="16">
        <f>IFERROR(__xludf.DUMMYFUNCTION("""COMPUTED_VALUE"""),1.0)</f>
        <v>1</v>
      </c>
      <c r="H341" s="16" t="str">
        <f>IFERROR(__xludf.DUMMYFUNCTION("""COMPUTED_VALUE"""),"Water")</f>
        <v>Water</v>
      </c>
    </row>
    <row r="342">
      <c r="A342" s="16" t="str">
        <f>IFERROR(__xludf.DUMMYFUNCTION("""COMPUTED_VALUE"""),"Tsunami")</f>
        <v>Tsunami</v>
      </c>
      <c r="B342" s="16">
        <f>IFERROR(__xludf.DUMMYFUNCTION("""COMPUTED_VALUE"""),9.0)</f>
        <v>9</v>
      </c>
      <c r="C342" s="16" t="str">
        <f>IFERROR(__xludf.DUMMYFUNCTION("""COMPUTED_VALUE"""),"d20*40")</f>
        <v>d20*40</v>
      </c>
      <c r="D342" s="16"/>
      <c r="E34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42" s="16" t="str">
        <f>IFERROR(__xludf.DUMMYFUNCTION("""COMPUTED_VALUE"""),"Cannot Avoid")</f>
        <v>Cannot Avoid</v>
      </c>
      <c r="G342" s="16" t="str">
        <f>IFERROR(__xludf.DUMMYFUNCTION("""COMPUTED_VALUE"""),"All")</f>
        <v>All</v>
      </c>
      <c r="H342" s="16" t="str">
        <f>IFERROR(__xludf.DUMMYFUNCTION("""COMPUTED_VALUE"""),"Water")</f>
        <v>Water</v>
      </c>
    </row>
    <row r="343">
      <c r="A343" s="16" t="str">
        <f>IFERROR(__xludf.DUMMYFUNCTION("""COMPUTED_VALUE"""),"Water Beam")</f>
        <v>Water Beam</v>
      </c>
      <c r="B343" s="16">
        <f>IFERROR(__xludf.DUMMYFUNCTION("""COMPUTED_VALUE"""),1.0)</f>
        <v>1</v>
      </c>
      <c r="C343" s="16" t="str">
        <f>IFERROR(__xludf.DUMMYFUNCTION("""COMPUTED_VALUE"""),"X")</f>
        <v>X</v>
      </c>
      <c r="D343" s="16"/>
      <c r="E343" s="16" t="str">
        <f>IFERROR(__xludf.DUMMYFUNCTION("""COMPUTED_VALUE"""),"Deals X*100 Water undefendable damage to a single enemy where X is equal to SP spent.")</f>
        <v>Deals X*100 Water undefendable damage to a single enemy where X is equal to SP spent.</v>
      </c>
      <c r="F343" s="16" t="str">
        <f>IFERROR(__xludf.DUMMYFUNCTION("""COMPUTED_VALUE"""),"Hit/Miss")</f>
        <v>Hit/Miss</v>
      </c>
      <c r="G343" s="16">
        <f>IFERROR(__xludf.DUMMYFUNCTION("""COMPUTED_VALUE"""),1.0)</f>
        <v>1</v>
      </c>
      <c r="H343" s="16" t="str">
        <f>IFERROR(__xludf.DUMMYFUNCTION("""COMPUTED_VALUE"""),"Water")</f>
        <v>Water</v>
      </c>
    </row>
    <row r="344">
      <c r="A344" s="16" t="str">
        <f>IFERROR(__xludf.DUMMYFUNCTION("""COMPUTED_VALUE"""),"Waters of Tranquility")</f>
        <v>Waters of Tranquility</v>
      </c>
      <c r="B344" s="16">
        <f>IFERROR(__xludf.DUMMYFUNCTION("""COMPUTED_VALUE"""),7.0)</f>
        <v>7</v>
      </c>
      <c r="C344" s="16" t="str">
        <f>IFERROR(__xludf.DUMMYFUNCTION("""COMPUTED_VALUE"""),"X")</f>
        <v>X</v>
      </c>
      <c r="D344" s="16"/>
      <c r="E344" s="16" t="str">
        <f>IFERROR(__xludf.DUMMYFUNCTION("""COMPUTED_VALUE"""),"Negate X*4 water damage.")</f>
        <v>Negate X*4 water damage.</v>
      </c>
      <c r="F344" s="16" t="str">
        <f>IFERROR(__xludf.DUMMYFUNCTION("""COMPUTED_VALUE"""),"Fail/Succeed")</f>
        <v>Fail/Succeed</v>
      </c>
      <c r="G344" s="16"/>
      <c r="H344" s="16" t="str">
        <f>IFERROR(__xludf.DUMMYFUNCTION("""COMPUTED_VALUE"""),"Water")</f>
        <v>Water</v>
      </c>
    </row>
    <row r="345">
      <c r="A345" s="16"/>
      <c r="B345" s="16"/>
      <c r="C345" s="16"/>
      <c r="D345" s="16"/>
      <c r="E345" s="16"/>
      <c r="F345" s="16"/>
      <c r="G345" s="16"/>
      <c r="H345"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225</v>
      </c>
      <c r="Y1" s="97" t="s">
        <v>226</v>
      </c>
      <c r="Z1" s="97" t="s">
        <v>27</v>
      </c>
      <c r="AA1" s="97" t="s">
        <v>227</v>
      </c>
    </row>
    <row r="2">
      <c r="A2" s="75" t="s">
        <v>228</v>
      </c>
      <c r="B2" s="14" t="s">
        <v>229</v>
      </c>
      <c r="C2" s="38" t="s">
        <v>25</v>
      </c>
      <c r="D2" s="38" t="s">
        <v>26</v>
      </c>
      <c r="E2" s="38" t="s">
        <v>225</v>
      </c>
      <c r="F2" s="38" t="s">
        <v>226</v>
      </c>
      <c r="G2" s="38" t="s">
        <v>27</v>
      </c>
      <c r="H2" s="38" t="s">
        <v>227</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230</v>
      </c>
    </row>
    <row r="8">
      <c r="A8" s="14" t="str">
        <f>"Storage: "&amp;counta(B10:B1070)&amp;"/"&amp;B8</f>
        <v>Storage: 7/70</v>
      </c>
      <c r="B8" s="14">
        <v>70.0</v>
      </c>
    </row>
    <row r="9">
      <c r="A9" s="38" t="s">
        <v>231</v>
      </c>
      <c r="B9" s="38" t="s">
        <v>24</v>
      </c>
      <c r="C9" s="38" t="s">
        <v>25</v>
      </c>
      <c r="D9" s="38" t="s">
        <v>26</v>
      </c>
      <c r="E9" s="38" t="s">
        <v>225</v>
      </c>
      <c r="F9" s="38" t="s">
        <v>226</v>
      </c>
      <c r="G9" s="38" t="s">
        <v>27</v>
      </c>
      <c r="H9" s="38" t="s">
        <v>227</v>
      </c>
      <c r="I9" s="38" t="s">
        <v>232</v>
      </c>
    </row>
    <row r="10">
      <c r="A10" s="63">
        <v>100.0</v>
      </c>
      <c r="B10" s="14" t="s">
        <v>233</v>
      </c>
      <c r="C10" s="14" t="s">
        <v>234</v>
      </c>
      <c r="D10" s="14" t="s">
        <v>235</v>
      </c>
      <c r="E10" s="37"/>
      <c r="F10" s="37"/>
      <c r="G10" s="37"/>
      <c r="H10" s="99"/>
      <c r="I10" s="37"/>
    </row>
    <row r="11">
      <c r="A11" s="63">
        <v>100.0</v>
      </c>
      <c r="B11" s="65" t="s">
        <v>236</v>
      </c>
      <c r="C11" s="100" t="s">
        <v>237</v>
      </c>
      <c r="D11" s="37"/>
      <c r="E11" s="37"/>
      <c r="F11" s="37"/>
      <c r="G11" s="37"/>
      <c r="H11" s="99"/>
      <c r="I11" s="37"/>
    </row>
    <row r="12">
      <c r="A12" s="63">
        <v>1.0</v>
      </c>
      <c r="B12" s="14" t="s">
        <v>229</v>
      </c>
      <c r="D12" s="14" t="s">
        <v>238</v>
      </c>
      <c r="E12" s="14" t="s">
        <v>44</v>
      </c>
      <c r="F12" s="97">
        <v>40.0</v>
      </c>
      <c r="G12" s="14" t="s">
        <v>239</v>
      </c>
      <c r="H12" s="101">
        <v>60000.0</v>
      </c>
      <c r="I12" s="37"/>
    </row>
    <row r="13">
      <c r="A13" s="102">
        <v>1.0</v>
      </c>
      <c r="B13" s="65" t="s">
        <v>29</v>
      </c>
      <c r="C13" s="37"/>
      <c r="D13" s="37"/>
      <c r="E13" s="65" t="s">
        <v>30</v>
      </c>
      <c r="F13" s="102">
        <v>200.0</v>
      </c>
      <c r="G13" s="65" t="s">
        <v>240</v>
      </c>
      <c r="H13" s="102">
        <v>1900000.0</v>
      </c>
      <c r="I13" s="37"/>
    </row>
    <row r="14">
      <c r="A14" s="103">
        <v>1.0</v>
      </c>
      <c r="B14" s="100" t="s">
        <v>38</v>
      </c>
      <c r="C14" s="37"/>
      <c r="D14" s="37"/>
      <c r="E14" s="65" t="s">
        <v>39</v>
      </c>
      <c r="F14" s="103">
        <v>200.0</v>
      </c>
      <c r="G14" s="65" t="s">
        <v>241</v>
      </c>
      <c r="H14" s="104">
        <v>1900000.0</v>
      </c>
      <c r="I14" s="64"/>
    </row>
    <row r="15">
      <c r="A15" s="103">
        <v>1.0</v>
      </c>
      <c r="B15" s="100" t="s">
        <v>60</v>
      </c>
      <c r="C15" s="37"/>
      <c r="D15" s="37"/>
      <c r="E15" s="65" t="s">
        <v>61</v>
      </c>
      <c r="F15" s="103">
        <v>200.0</v>
      </c>
      <c r="G15" s="65" t="s">
        <v>242</v>
      </c>
      <c r="H15" s="105">
        <v>1900000.0</v>
      </c>
      <c r="I15" s="64"/>
    </row>
    <row r="16">
      <c r="A16" s="103">
        <v>1.0</v>
      </c>
      <c r="B16" s="100" t="s">
        <v>43</v>
      </c>
      <c r="C16" s="37"/>
      <c r="D16" s="65" t="s">
        <v>243</v>
      </c>
      <c r="E16" s="65" t="s">
        <v>44</v>
      </c>
      <c r="F16" s="103">
        <v>200.0</v>
      </c>
      <c r="G16" s="65" t="s">
        <v>244</v>
      </c>
      <c r="H16" s="105">
        <v>1900000.0</v>
      </c>
      <c r="I16" s="37"/>
    </row>
    <row r="17">
      <c r="A17" s="64"/>
      <c r="B17" s="106"/>
      <c r="C17" s="37"/>
      <c r="D17" s="37"/>
      <c r="E17" s="37"/>
      <c r="F17" s="64"/>
      <c r="G17" s="37"/>
      <c r="H17" s="107"/>
      <c r="I17" s="37"/>
    </row>
    <row r="18">
      <c r="A18" s="64"/>
      <c r="B18" s="106"/>
      <c r="C18" s="37"/>
      <c r="D18" s="37"/>
      <c r="E18" s="37"/>
      <c r="F18" s="64"/>
      <c r="G18" s="37"/>
      <c r="H18" s="107"/>
      <c r="I18" s="37"/>
    </row>
    <row r="19">
      <c r="A19" s="64"/>
      <c r="B19" s="106"/>
      <c r="C19" s="37"/>
      <c r="D19" s="37"/>
      <c r="E19" s="37"/>
      <c r="F19" s="64"/>
      <c r="G19" s="37"/>
      <c r="H19" s="107"/>
      <c r="I19" s="37"/>
    </row>
    <row r="20">
      <c r="A20" s="64"/>
      <c r="B20" s="37"/>
      <c r="C20" s="37"/>
      <c r="D20" s="37"/>
      <c r="E20" s="37"/>
      <c r="F20" s="37"/>
      <c r="G20" s="37"/>
      <c r="H20" s="99"/>
      <c r="I20" s="37"/>
    </row>
    <row r="21">
      <c r="A21" s="64"/>
      <c r="B21" s="37"/>
      <c r="C21" s="106"/>
      <c r="D21" s="37"/>
      <c r="E21" s="37"/>
      <c r="F21" s="37"/>
      <c r="G21" s="37"/>
      <c r="H21" s="99"/>
      <c r="I21" s="37"/>
    </row>
    <row r="22">
      <c r="A22" s="64"/>
      <c r="B22" s="106"/>
      <c r="C22" s="37"/>
      <c r="D22" s="37"/>
      <c r="E22" s="37"/>
      <c r="F22" s="64"/>
      <c r="G22" s="106"/>
      <c r="H22" s="99"/>
      <c r="I22" s="37"/>
    </row>
    <row r="23">
      <c r="A23" s="64"/>
      <c r="B23" s="37"/>
      <c r="C23" s="37"/>
      <c r="D23" s="37"/>
      <c r="E23" s="37"/>
      <c r="F23" s="37"/>
      <c r="G23" s="37"/>
      <c r="H23" s="99"/>
      <c r="I23" s="37"/>
    </row>
    <row r="24">
      <c r="A24" s="64"/>
      <c r="B24" s="37"/>
      <c r="C24" s="106"/>
      <c r="D24" s="37"/>
      <c r="E24" s="37"/>
      <c r="F24" s="37"/>
      <c r="G24" s="37"/>
      <c r="H24" s="99"/>
      <c r="I24" s="37"/>
    </row>
    <row r="25">
      <c r="A25" s="64"/>
      <c r="B25" s="37"/>
      <c r="C25" s="106"/>
      <c r="D25" s="37"/>
      <c r="E25" s="37"/>
      <c r="F25" s="37"/>
      <c r="G25" s="37"/>
      <c r="H25" s="99"/>
      <c r="I25" s="37"/>
    </row>
    <row r="26">
      <c r="A26" s="64"/>
      <c r="B26" s="106"/>
      <c r="C26" s="37"/>
      <c r="D26" s="37"/>
      <c r="E26" s="37"/>
      <c r="F26" s="37"/>
      <c r="G26" s="37"/>
      <c r="H26" s="99"/>
      <c r="I26" s="37"/>
    </row>
    <row r="27">
      <c r="A27" s="64"/>
      <c r="B27" s="37"/>
      <c r="C27" s="37"/>
      <c r="D27" s="37"/>
      <c r="E27" s="37"/>
      <c r="F27" s="37"/>
      <c r="G27" s="37"/>
      <c r="H27" s="99"/>
      <c r="I27" s="37"/>
    </row>
    <row r="28">
      <c r="A28" s="64"/>
      <c r="B28" s="37"/>
      <c r="C28" s="106"/>
      <c r="D28" s="37"/>
      <c r="E28" s="37"/>
      <c r="F28" s="37"/>
      <c r="G28" s="37"/>
      <c r="H28" s="99"/>
      <c r="I28" s="37"/>
    </row>
    <row r="29">
      <c r="A29" s="64"/>
      <c r="B29" s="37"/>
      <c r="C29" s="106"/>
      <c r="D29" s="37"/>
      <c r="E29" s="37"/>
      <c r="F29" s="37"/>
      <c r="G29" s="37"/>
      <c r="H29" s="99"/>
      <c r="I29" s="37"/>
    </row>
    <row r="30">
      <c r="A30" s="64"/>
      <c r="B30" s="106"/>
      <c r="C30" s="37"/>
      <c r="D30" s="37"/>
      <c r="E30" s="37"/>
      <c r="F30" s="37"/>
      <c r="G30" s="37"/>
      <c r="H30" s="99"/>
      <c r="I30" s="37"/>
    </row>
    <row r="31">
      <c r="A31" s="64"/>
      <c r="B31" s="37"/>
      <c r="C31" s="37"/>
      <c r="D31" s="37"/>
      <c r="E31" s="37"/>
      <c r="F31" s="37"/>
      <c r="G31" s="37"/>
      <c r="H31" s="99"/>
      <c r="I31" s="37"/>
    </row>
    <row r="32">
      <c r="A32" s="64"/>
      <c r="B32" s="37"/>
      <c r="C32" s="106"/>
      <c r="D32" s="37"/>
      <c r="E32" s="37"/>
      <c r="F32" s="37"/>
      <c r="G32" s="37"/>
      <c r="H32" s="99"/>
      <c r="I32" s="37"/>
    </row>
    <row r="33">
      <c r="A33" s="64"/>
      <c r="B33" s="37"/>
      <c r="C33" s="106"/>
      <c r="D33" s="37"/>
      <c r="E33" s="37"/>
      <c r="F33" s="37"/>
      <c r="G33" s="37"/>
      <c r="H33" s="99"/>
      <c r="I33" s="37"/>
    </row>
    <row r="34">
      <c r="A34" s="64"/>
      <c r="B34" s="37"/>
      <c r="C34" s="106"/>
      <c r="D34" s="37"/>
      <c r="E34" s="37"/>
      <c r="F34" s="37"/>
      <c r="G34" s="37"/>
      <c r="H34" s="99"/>
      <c r="I34" s="37"/>
    </row>
    <row r="35">
      <c r="A35" s="64"/>
      <c r="B35" s="37"/>
      <c r="C35" s="106"/>
      <c r="D35" s="37"/>
      <c r="E35" s="37"/>
      <c r="F35" s="37"/>
      <c r="G35" s="37"/>
      <c r="H35" s="99"/>
      <c r="I35" s="37"/>
    </row>
    <row r="36">
      <c r="A36" s="64"/>
      <c r="B36" s="37"/>
      <c r="C36" s="37"/>
      <c r="D36" s="37"/>
      <c r="E36" s="37"/>
      <c r="F36" s="37"/>
      <c r="G36" s="37"/>
      <c r="H36" s="99"/>
      <c r="I36" s="37"/>
    </row>
    <row r="37">
      <c r="A37" s="64"/>
      <c r="B37" s="106"/>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6"/>
      <c r="C41" s="37"/>
      <c r="D41" s="37"/>
      <c r="E41" s="37"/>
      <c r="F41" s="64"/>
      <c r="G41" s="37"/>
      <c r="H41" s="107"/>
      <c r="I41" s="37"/>
    </row>
    <row r="42">
      <c r="A42" s="64"/>
      <c r="B42" s="37"/>
      <c r="C42" s="37"/>
      <c r="D42" s="37"/>
      <c r="E42" s="37"/>
      <c r="F42" s="64"/>
      <c r="G42" s="37"/>
      <c r="H42" s="107"/>
      <c r="I42" s="37"/>
    </row>
    <row r="43">
      <c r="A43" s="64"/>
      <c r="B43" s="106"/>
      <c r="C43" s="37"/>
      <c r="D43" s="37"/>
      <c r="E43" s="37"/>
      <c r="F43" s="37"/>
      <c r="G43" s="37"/>
      <c r="H43" s="99"/>
      <c r="I43" s="37"/>
    </row>
    <row r="44">
      <c r="A44" s="64"/>
      <c r="B44" s="106"/>
      <c r="C44" s="37"/>
      <c r="D44" s="37"/>
      <c r="E44" s="37"/>
      <c r="F44" s="37"/>
      <c r="G44" s="37"/>
      <c r="H44" s="99"/>
      <c r="I44" s="37"/>
    </row>
    <row r="45">
      <c r="A45" s="64"/>
      <c r="B45" s="106"/>
      <c r="C45" s="37"/>
      <c r="D45" s="37"/>
      <c r="E45" s="37"/>
      <c r="F45" s="37"/>
      <c r="G45" s="37"/>
      <c r="H45" s="99"/>
      <c r="I45" s="37"/>
    </row>
    <row r="46">
      <c r="A46" s="64"/>
      <c r="B46" s="106"/>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6"/>
      <c r="D52" s="37"/>
      <c r="E52" s="37"/>
      <c r="F52" s="37"/>
      <c r="G52" s="37"/>
      <c r="H52" s="99"/>
      <c r="I52" s="37"/>
    </row>
    <row r="53">
      <c r="A53" s="64"/>
      <c r="B53" s="37"/>
      <c r="C53" s="37"/>
      <c r="D53" s="37"/>
      <c r="E53" s="37"/>
      <c r="F53" s="37"/>
      <c r="G53" s="37"/>
      <c r="H53" s="99"/>
      <c r="I53" s="37"/>
    </row>
    <row r="54">
      <c r="A54" s="64"/>
      <c r="B54" s="37"/>
      <c r="C54" s="106"/>
      <c r="D54" s="37"/>
      <c r="E54" s="37"/>
      <c r="F54" s="37"/>
      <c r="G54" s="37"/>
      <c r="H54" s="99"/>
      <c r="I54" s="37"/>
    </row>
    <row r="55">
      <c r="A55" s="64"/>
      <c r="B55" s="37"/>
      <c r="C55" s="106"/>
      <c r="D55" s="37"/>
      <c r="E55" s="37"/>
      <c r="F55" s="37"/>
      <c r="G55" s="37"/>
      <c r="H55" s="99"/>
      <c r="I55" s="37"/>
    </row>
    <row r="56">
      <c r="A56" s="64"/>
      <c r="B56" s="37"/>
      <c r="C56" s="106"/>
      <c r="D56" s="37"/>
      <c r="E56" s="37"/>
      <c r="F56" s="37"/>
      <c r="G56" s="37"/>
      <c r="H56" s="99"/>
      <c r="I56" s="37"/>
    </row>
    <row r="57">
      <c r="A57" s="64"/>
      <c r="B57" s="37"/>
      <c r="C57" s="106"/>
      <c r="D57" s="37"/>
      <c r="E57" s="37"/>
      <c r="F57" s="37"/>
      <c r="G57" s="37"/>
      <c r="H57" s="99"/>
      <c r="I57" s="37"/>
    </row>
    <row r="58">
      <c r="A58" s="64"/>
      <c r="B58" s="37"/>
      <c r="C58" s="106"/>
      <c r="D58" s="37"/>
      <c r="E58" s="37"/>
      <c r="F58" s="37"/>
      <c r="G58" s="37"/>
      <c r="H58" s="99"/>
      <c r="I58" s="37"/>
    </row>
    <row r="59">
      <c r="A59" s="64"/>
      <c r="B59" s="37"/>
      <c r="C59" s="106"/>
      <c r="D59" s="37"/>
      <c r="E59" s="37"/>
      <c r="F59" s="37"/>
      <c r="G59" s="37"/>
      <c r="H59" s="99"/>
      <c r="I59" s="37"/>
    </row>
    <row r="60">
      <c r="A60" s="64"/>
      <c r="B60" s="37"/>
      <c r="C60" s="106"/>
      <c r="D60" s="37"/>
      <c r="E60" s="37"/>
      <c r="F60" s="37"/>
      <c r="G60" s="37"/>
      <c r="H60" s="99"/>
      <c r="I60" s="37"/>
    </row>
    <row r="61">
      <c r="A61" s="64"/>
      <c r="B61" s="37"/>
      <c r="C61" s="106"/>
      <c r="D61" s="37"/>
      <c r="E61" s="37"/>
      <c r="F61" s="37"/>
      <c r="G61" s="37"/>
      <c r="H61" s="99"/>
      <c r="I61" s="37"/>
    </row>
    <row r="62">
      <c r="A62" s="64"/>
      <c r="B62" s="37"/>
      <c r="C62" s="106"/>
      <c r="D62" s="37"/>
      <c r="E62" s="37"/>
      <c r="F62" s="37"/>
      <c r="G62" s="37"/>
      <c r="H62" s="99"/>
      <c r="I62" s="37"/>
    </row>
    <row r="63">
      <c r="A63" s="64"/>
      <c r="B63" s="37"/>
      <c r="C63" s="106"/>
      <c r="D63" s="37"/>
      <c r="E63" s="37"/>
      <c r="F63" s="37"/>
      <c r="G63" s="37"/>
      <c r="H63" s="99"/>
      <c r="I63" s="37"/>
    </row>
    <row r="64">
      <c r="A64" s="64"/>
      <c r="B64" s="37"/>
      <c r="C64" s="106"/>
      <c r="D64" s="37"/>
      <c r="E64" s="37"/>
      <c r="F64" s="37"/>
      <c r="G64" s="37"/>
      <c r="H64" s="99"/>
      <c r="I64" s="37"/>
    </row>
    <row r="65">
      <c r="A65" s="64"/>
      <c r="B65" s="37"/>
      <c r="C65" s="106"/>
      <c r="D65" s="37"/>
      <c r="E65" s="37"/>
      <c r="F65" s="37"/>
      <c r="G65" s="37"/>
      <c r="H65" s="99"/>
      <c r="I65" s="37"/>
    </row>
    <row r="66">
      <c r="A66" s="64"/>
      <c r="B66" s="37"/>
      <c r="C66" s="106"/>
      <c r="D66" s="37"/>
      <c r="E66" s="37"/>
      <c r="F66" s="37"/>
      <c r="G66" s="37"/>
      <c r="H66" s="99"/>
      <c r="I66" s="37"/>
    </row>
    <row r="67">
      <c r="A67" s="64"/>
      <c r="B67" s="37"/>
      <c r="C67" s="106"/>
      <c r="D67" s="37"/>
      <c r="E67" s="37"/>
      <c r="F67" s="37"/>
      <c r="G67" s="37"/>
      <c r="H67" s="99"/>
      <c r="I67" s="37"/>
    </row>
    <row r="68">
      <c r="A68" s="64"/>
      <c r="B68" s="37"/>
      <c r="C68" s="106"/>
      <c r="D68" s="37"/>
      <c r="E68" s="37"/>
      <c r="F68" s="37"/>
      <c r="G68" s="37"/>
      <c r="H68" s="99"/>
      <c r="I68" s="37"/>
    </row>
    <row r="69">
      <c r="A69" s="64"/>
      <c r="B69" s="37"/>
      <c r="C69" s="106"/>
      <c r="D69" s="37"/>
      <c r="E69" s="37"/>
      <c r="F69" s="37"/>
      <c r="G69" s="37"/>
      <c r="H69" s="99"/>
      <c r="I69" s="37"/>
    </row>
    <row r="70">
      <c r="A70" s="64"/>
      <c r="B70" s="37"/>
      <c r="C70" s="106"/>
      <c r="D70" s="37"/>
      <c r="E70" s="37"/>
      <c r="F70" s="37"/>
      <c r="G70" s="37"/>
      <c r="H70" s="99"/>
      <c r="I70" s="37"/>
    </row>
    <row r="71">
      <c r="A71" s="64"/>
      <c r="B71" s="37"/>
      <c r="C71" s="106"/>
      <c r="D71" s="37"/>
      <c r="E71" s="37"/>
      <c r="F71" s="37"/>
      <c r="G71" s="37"/>
      <c r="H71" s="99"/>
      <c r="I71" s="37"/>
    </row>
    <row r="72">
      <c r="A72" s="64"/>
      <c r="B72" s="37"/>
      <c r="C72" s="106"/>
      <c r="D72" s="37"/>
      <c r="E72" s="37"/>
      <c r="F72" s="37"/>
      <c r="G72" s="37"/>
      <c r="H72" s="99"/>
      <c r="I72" s="37"/>
    </row>
    <row r="73">
      <c r="A73" s="64"/>
      <c r="B73" s="37"/>
      <c r="C73" s="106"/>
      <c r="D73" s="37"/>
      <c r="E73" s="37"/>
      <c r="F73" s="37"/>
      <c r="G73" s="37"/>
      <c r="H73" s="99"/>
      <c r="I73" s="37"/>
    </row>
    <row r="74">
      <c r="A74" s="64"/>
      <c r="B74" s="37"/>
      <c r="C74" s="106"/>
      <c r="D74" s="37"/>
      <c r="E74" s="37"/>
      <c r="F74" s="37"/>
      <c r="G74" s="37"/>
      <c r="H74" s="99"/>
      <c r="I74" s="37"/>
    </row>
    <row r="75">
      <c r="A75" s="64"/>
      <c r="B75" s="37"/>
      <c r="C75" s="106"/>
      <c r="D75" s="37"/>
      <c r="E75" s="37"/>
      <c r="F75" s="37"/>
      <c r="G75" s="37"/>
      <c r="H75" s="99"/>
      <c r="I75" s="37"/>
    </row>
    <row r="76">
      <c r="A76" s="64"/>
      <c r="B76" s="37"/>
      <c r="C76" s="106"/>
      <c r="D76" s="37"/>
      <c r="E76" s="37"/>
      <c r="F76" s="37"/>
      <c r="G76" s="37"/>
      <c r="H76" s="99"/>
      <c r="I76" s="37"/>
    </row>
    <row r="77">
      <c r="A77" s="64"/>
      <c r="B77" s="37"/>
      <c r="C77" s="106"/>
      <c r="D77" s="37"/>
      <c r="E77" s="37"/>
      <c r="F77" s="37"/>
      <c r="G77" s="37"/>
      <c r="H77" s="99"/>
      <c r="I77" s="37"/>
    </row>
    <row r="78">
      <c r="A78" s="64"/>
      <c r="B78" s="37"/>
      <c r="C78" s="106"/>
      <c r="D78" s="37"/>
      <c r="E78" s="37"/>
      <c r="F78" s="37"/>
      <c r="G78" s="37"/>
      <c r="H78" s="99"/>
      <c r="I78" s="37"/>
    </row>
    <row r="79">
      <c r="A79" s="64"/>
      <c r="B79" s="37"/>
      <c r="C79" s="106"/>
      <c r="D79" s="37"/>
      <c r="E79" s="37"/>
      <c r="F79" s="37"/>
      <c r="G79" s="37"/>
      <c r="H79" s="99"/>
      <c r="I79" s="37"/>
    </row>
    <row r="80">
      <c r="A80" s="64"/>
      <c r="B80" s="37"/>
      <c r="C80" s="106"/>
      <c r="D80" s="37"/>
      <c r="E80" s="37"/>
      <c r="F80" s="37"/>
      <c r="G80" s="37"/>
      <c r="H80" s="99"/>
      <c r="I80" s="37"/>
    </row>
    <row r="81">
      <c r="A81" s="64"/>
      <c r="B81" s="37"/>
      <c r="C81" s="106"/>
      <c r="D81" s="37"/>
      <c r="E81" s="37"/>
      <c r="F81" s="37"/>
      <c r="G81" s="37"/>
      <c r="H81" s="99"/>
      <c r="I81" s="37"/>
    </row>
    <row r="82">
      <c r="A82" s="64"/>
      <c r="B82" s="37"/>
      <c r="C82" s="106"/>
      <c r="D82" s="37"/>
      <c r="E82" s="37"/>
      <c r="F82" s="37"/>
      <c r="G82" s="37"/>
      <c r="H82" s="99"/>
      <c r="I82" s="37"/>
    </row>
    <row r="83">
      <c r="A83" s="64"/>
      <c r="B83" s="37"/>
      <c r="C83" s="106"/>
      <c r="D83" s="37"/>
      <c r="E83" s="37"/>
      <c r="F83" s="37"/>
      <c r="G83" s="37"/>
      <c r="H83" s="99"/>
      <c r="I83" s="37"/>
    </row>
    <row r="84">
      <c r="A84" s="64"/>
      <c r="B84" s="37"/>
      <c r="C84" s="106"/>
      <c r="D84" s="37"/>
      <c r="E84" s="37"/>
      <c r="F84" s="37"/>
      <c r="G84" s="37"/>
      <c r="H84" s="99"/>
      <c r="I84" s="37"/>
    </row>
    <row r="85">
      <c r="A85" s="64"/>
      <c r="B85" s="37"/>
      <c r="C85" s="106"/>
      <c r="D85" s="37"/>
      <c r="E85" s="37"/>
      <c r="F85" s="37"/>
      <c r="G85" s="37"/>
      <c r="H85" s="99"/>
      <c r="I85" s="37"/>
    </row>
    <row r="86">
      <c r="A86" s="64"/>
      <c r="B86" s="106"/>
      <c r="C86" s="37"/>
      <c r="D86" s="37"/>
      <c r="E86" s="37"/>
      <c r="F86" s="64"/>
      <c r="G86" s="37"/>
      <c r="H86" s="107"/>
      <c r="I86" s="37"/>
    </row>
    <row r="87">
      <c r="A87" s="64"/>
      <c r="B87" s="106"/>
      <c r="C87" s="37"/>
      <c r="D87" s="37"/>
      <c r="E87" s="37"/>
      <c r="F87" s="64"/>
      <c r="G87" s="37"/>
      <c r="H87" s="107"/>
      <c r="I87" s="37"/>
    </row>
    <row r="88">
      <c r="A88" s="64"/>
      <c r="B88" s="37"/>
      <c r="C88" s="37"/>
      <c r="D88" s="37"/>
      <c r="E88" s="37"/>
      <c r="F88" s="37"/>
      <c r="G88" s="37"/>
      <c r="H88" s="99"/>
      <c r="I88" s="37"/>
    </row>
    <row r="89">
      <c r="A89" s="64"/>
      <c r="B89" s="37"/>
      <c r="C89" s="106"/>
      <c r="D89" s="37"/>
      <c r="E89" s="37"/>
      <c r="F89" s="37"/>
      <c r="G89" s="37"/>
      <c r="H89" s="107"/>
      <c r="I89" s="37"/>
    </row>
    <row r="90">
      <c r="A90" s="64"/>
      <c r="B90" s="37"/>
      <c r="C90" s="37"/>
      <c r="D90" s="37"/>
      <c r="E90" s="37"/>
      <c r="F90" s="37"/>
      <c r="G90" s="37"/>
      <c r="H90" s="99"/>
      <c r="I90" s="37"/>
    </row>
    <row r="91">
      <c r="A91" s="64"/>
      <c r="B91" s="37"/>
      <c r="C91" s="37"/>
      <c r="D91" s="37"/>
      <c r="E91" s="37"/>
      <c r="F91" s="37"/>
      <c r="G91" s="37"/>
      <c r="H91" s="99"/>
      <c r="I91" s="37"/>
    </row>
    <row r="92">
      <c r="A92" s="64"/>
      <c r="B92" s="106"/>
      <c r="C92" s="37"/>
      <c r="D92" s="37"/>
      <c r="E92" s="37"/>
      <c r="F92" s="64"/>
      <c r="G92" s="37"/>
      <c r="H92" s="107"/>
      <c r="I92" s="37"/>
    </row>
    <row r="93">
      <c r="A93" s="64"/>
      <c r="B93" s="37"/>
      <c r="C93" s="37"/>
      <c r="D93" s="37"/>
      <c r="E93" s="37"/>
      <c r="F93" s="64"/>
      <c r="G93" s="37"/>
      <c r="H93" s="107"/>
      <c r="I93" s="37"/>
    </row>
    <row r="94">
      <c r="A94" s="64"/>
      <c r="B94" s="106"/>
      <c r="C94" s="37"/>
      <c r="D94" s="37"/>
      <c r="E94" s="37"/>
      <c r="F94" s="64"/>
      <c r="G94" s="37"/>
      <c r="H94" s="107"/>
      <c r="I94" s="37"/>
    </row>
    <row r="95">
      <c r="A95" s="64"/>
      <c r="B95" s="37"/>
      <c r="C95" s="106"/>
      <c r="D95" s="37"/>
      <c r="E95" s="37"/>
      <c r="F95" s="37"/>
      <c r="G95" s="37"/>
      <c r="H95" s="99"/>
      <c r="I95" s="37"/>
    </row>
    <row r="96">
      <c r="A96" s="64"/>
      <c r="B96" s="37"/>
      <c r="C96" s="106"/>
      <c r="D96" s="37"/>
      <c r="E96" s="37"/>
      <c r="F96" s="37"/>
      <c r="G96" s="37"/>
      <c r="H96" s="99"/>
      <c r="I96" s="37"/>
    </row>
    <row r="97">
      <c r="A97" s="64"/>
      <c r="B97" s="37"/>
      <c r="C97" s="106"/>
      <c r="D97" s="37"/>
      <c r="E97" s="37"/>
      <c r="F97" s="37"/>
      <c r="G97" s="37"/>
      <c r="H97" s="99"/>
      <c r="I97" s="37"/>
    </row>
    <row r="98">
      <c r="A98" s="64"/>
      <c r="B98" s="37"/>
      <c r="C98" s="106"/>
      <c r="D98" s="37"/>
      <c r="E98" s="37"/>
      <c r="F98" s="37"/>
      <c r="G98" s="37"/>
      <c r="H98" s="99"/>
      <c r="I98" s="37"/>
    </row>
    <row r="99">
      <c r="A99" s="64"/>
      <c r="B99" s="37"/>
      <c r="C99" s="106"/>
      <c r="D99" s="37"/>
      <c r="E99" s="37"/>
      <c r="F99" s="37"/>
      <c r="G99" s="37"/>
      <c r="H99" s="99"/>
      <c r="I99" s="37"/>
    </row>
    <row r="100">
      <c r="A100" s="64"/>
      <c r="B100" s="37"/>
      <c r="C100" s="37"/>
      <c r="D100" s="37"/>
      <c r="E100" s="37"/>
      <c r="F100" s="37"/>
      <c r="G100" s="37"/>
      <c r="H100" s="99"/>
      <c r="I100" s="37"/>
    </row>
    <row r="101">
      <c r="A101" s="64"/>
      <c r="B101" s="106"/>
      <c r="C101" s="37"/>
      <c r="D101" s="37"/>
      <c r="E101" s="37"/>
      <c r="F101" s="64"/>
      <c r="G101" s="37"/>
      <c r="H101" s="107"/>
      <c r="I101" s="37"/>
    </row>
    <row r="102">
      <c r="A102" s="64"/>
      <c r="B102" s="37"/>
      <c r="C102" s="106"/>
      <c r="D102" s="37"/>
      <c r="E102" s="37"/>
      <c r="F102" s="37"/>
      <c r="G102" s="37"/>
      <c r="H102" s="99"/>
      <c r="I102" s="37"/>
    </row>
    <row r="103">
      <c r="A103" s="64"/>
      <c r="B103" s="37"/>
      <c r="C103" s="106"/>
      <c r="D103" s="37"/>
      <c r="E103" s="37"/>
      <c r="F103" s="37"/>
      <c r="G103" s="37"/>
      <c r="H103" s="99"/>
      <c r="I103" s="37"/>
    </row>
    <row r="104">
      <c r="A104" s="64"/>
      <c r="B104" s="37"/>
      <c r="C104" s="106"/>
      <c r="D104" s="37"/>
      <c r="E104" s="37"/>
      <c r="F104" s="37"/>
      <c r="G104" s="37"/>
      <c r="H104" s="99"/>
      <c r="I104" s="37"/>
    </row>
    <row r="105">
      <c r="A105" s="64"/>
      <c r="B105" s="106"/>
      <c r="C105" s="37"/>
      <c r="D105" s="37"/>
      <c r="E105" s="37"/>
      <c r="F105" s="64"/>
      <c r="G105" s="37"/>
      <c r="H105" s="107"/>
      <c r="I105" s="37"/>
    </row>
    <row r="106">
      <c r="A106" s="64"/>
      <c r="B106" s="37"/>
      <c r="C106" s="106"/>
      <c r="D106" s="37"/>
      <c r="E106" s="37"/>
      <c r="F106" s="37"/>
      <c r="G106" s="37"/>
      <c r="H106" s="99"/>
      <c r="I106" s="37"/>
    </row>
    <row r="107">
      <c r="A107" s="64"/>
      <c r="B107" s="106"/>
      <c r="C107" s="37"/>
      <c r="D107" s="37"/>
      <c r="E107" s="37"/>
      <c r="F107" s="64"/>
      <c r="G107" s="37"/>
      <c r="H107" s="107"/>
      <c r="I107" s="37"/>
    </row>
    <row r="108">
      <c r="A108" s="64"/>
      <c r="B108" s="106"/>
      <c r="C108" s="37"/>
      <c r="D108" s="37"/>
      <c r="E108" s="37"/>
      <c r="F108" s="37"/>
      <c r="G108" s="37"/>
      <c r="H108" s="99"/>
      <c r="I108" s="37"/>
    </row>
    <row r="109">
      <c r="A109" s="64"/>
      <c r="B109" s="106"/>
      <c r="C109" s="37"/>
      <c r="D109" s="37"/>
      <c r="E109" s="37"/>
      <c r="F109" s="64"/>
      <c r="G109" s="37"/>
      <c r="H109" s="107"/>
      <c r="I109" s="37"/>
    </row>
    <row r="110">
      <c r="A110" s="64"/>
      <c r="B110" s="106"/>
      <c r="C110" s="37"/>
      <c r="D110" s="37"/>
      <c r="E110" s="37"/>
      <c r="F110" s="64"/>
      <c r="G110" s="37"/>
      <c r="H110" s="107"/>
      <c r="I110" s="37"/>
    </row>
    <row r="111">
      <c r="A111" s="64"/>
      <c r="B111" s="106"/>
      <c r="C111" s="37"/>
      <c r="D111" s="37"/>
      <c r="E111" s="37"/>
      <c r="F111" s="64"/>
      <c r="G111" s="37"/>
      <c r="H111" s="107"/>
      <c r="I111" s="37"/>
    </row>
    <row r="112">
      <c r="A112" s="37"/>
      <c r="B112" s="37"/>
      <c r="C112" s="106"/>
      <c r="D112" s="37"/>
      <c r="E112" s="37"/>
      <c r="F112" s="37"/>
      <c r="G112" s="37"/>
      <c r="H112" s="99"/>
      <c r="I112" s="37"/>
    </row>
    <row r="113">
      <c r="A113" s="64"/>
      <c r="B113" s="37"/>
      <c r="C113" s="37"/>
      <c r="D113" s="37"/>
      <c r="E113" s="37"/>
      <c r="F113" s="64"/>
      <c r="G113" s="37"/>
      <c r="H113" s="107"/>
      <c r="I113" s="37"/>
    </row>
    <row r="114">
      <c r="A114" s="64"/>
      <c r="B114" s="37"/>
      <c r="C114" s="37"/>
      <c r="D114" s="37"/>
      <c r="E114" s="37"/>
      <c r="F114" s="64"/>
      <c r="G114" s="37"/>
      <c r="H114" s="107"/>
      <c r="I114" s="37"/>
    </row>
    <row r="115">
      <c r="A115" s="64"/>
      <c r="B115" s="106"/>
      <c r="C115" s="37"/>
      <c r="D115" s="37"/>
      <c r="E115" s="37"/>
      <c r="F115" s="64"/>
      <c r="G115" s="37"/>
      <c r="H115" s="107"/>
      <c r="I115" s="37"/>
    </row>
    <row r="116">
      <c r="A116" s="64"/>
      <c r="B116" s="37"/>
      <c r="C116" s="106"/>
      <c r="D116" s="37"/>
      <c r="E116" s="37"/>
      <c r="F116" s="37"/>
      <c r="G116" s="37"/>
      <c r="H116" s="99"/>
      <c r="I116" s="37"/>
    </row>
    <row r="117">
      <c r="A117" s="64"/>
      <c r="B117" s="37"/>
      <c r="C117" s="106"/>
      <c r="D117" s="37"/>
      <c r="E117" s="37"/>
      <c r="F117" s="37"/>
      <c r="G117" s="37"/>
      <c r="H117" s="99"/>
      <c r="I117" s="37"/>
    </row>
    <row r="118">
      <c r="A118" s="64"/>
      <c r="B118" s="106"/>
      <c r="C118" s="37"/>
      <c r="D118" s="37"/>
      <c r="E118" s="37"/>
      <c r="F118" s="64"/>
      <c r="G118" s="37"/>
      <c r="H118" s="107"/>
      <c r="I118" s="64"/>
    </row>
    <row r="119">
      <c r="A119" s="64"/>
      <c r="B119" s="106"/>
      <c r="C119" s="37"/>
      <c r="D119" s="37"/>
      <c r="E119" s="37"/>
      <c r="F119" s="64"/>
      <c r="G119" s="37"/>
      <c r="H119" s="107"/>
      <c r="I119" s="64"/>
    </row>
    <row r="120">
      <c r="A120" s="64"/>
      <c r="B120" s="106"/>
      <c r="C120" s="37"/>
      <c r="D120" s="37"/>
      <c r="E120" s="37"/>
      <c r="F120" s="64"/>
      <c r="G120" s="37"/>
      <c r="H120" s="107"/>
      <c r="I120" s="37"/>
    </row>
    <row r="121">
      <c r="A121" s="64"/>
      <c r="B121" s="37"/>
      <c r="C121" s="37"/>
      <c r="D121" s="37"/>
      <c r="E121" s="37"/>
      <c r="F121" s="37"/>
      <c r="G121" s="37"/>
      <c r="H121" s="99"/>
      <c r="I121" s="37"/>
    </row>
    <row r="122">
      <c r="A122" s="64"/>
      <c r="B122" s="106"/>
      <c r="C122" s="37"/>
      <c r="D122" s="37"/>
      <c r="E122" s="37"/>
      <c r="F122" s="64"/>
      <c r="G122" s="37"/>
      <c r="H122" s="107"/>
      <c r="I122" s="37"/>
    </row>
    <row r="123">
      <c r="A123" s="64"/>
      <c r="B123" s="106"/>
      <c r="C123" s="37"/>
      <c r="D123" s="37"/>
      <c r="E123" s="37"/>
      <c r="F123" s="37"/>
      <c r="G123" s="37"/>
      <c r="H123" s="99"/>
      <c r="I123" s="37"/>
    </row>
    <row r="124">
      <c r="A124" s="64"/>
      <c r="B124" s="106"/>
      <c r="C124" s="37"/>
      <c r="D124" s="37"/>
      <c r="E124" s="37"/>
      <c r="F124" s="64"/>
      <c r="G124" s="37"/>
      <c r="H124" s="107"/>
      <c r="I124" s="37"/>
    </row>
    <row r="125">
      <c r="A125" s="64"/>
      <c r="B125" s="37"/>
      <c r="C125" s="106"/>
      <c r="D125" s="37"/>
      <c r="E125" s="37"/>
      <c r="F125" s="37"/>
      <c r="G125" s="37"/>
      <c r="H125" s="99"/>
      <c r="I125" s="37"/>
    </row>
    <row r="126">
      <c r="A126" s="64"/>
      <c r="B126" s="106"/>
      <c r="C126" s="37"/>
      <c r="D126" s="37"/>
      <c r="E126" s="37"/>
      <c r="F126" s="64"/>
      <c r="G126" s="37"/>
      <c r="H126" s="107"/>
      <c r="I126" s="37"/>
    </row>
    <row r="127">
      <c r="A127" s="64"/>
      <c r="B127" s="37"/>
      <c r="C127" s="106"/>
      <c r="D127" s="37"/>
      <c r="E127" s="37"/>
      <c r="F127" s="37"/>
      <c r="G127" s="37"/>
      <c r="H127" s="99"/>
      <c r="I127" s="37"/>
    </row>
    <row r="128">
      <c r="A128" s="64"/>
      <c r="B128" s="37"/>
      <c r="C128" s="106"/>
      <c r="H128" s="108"/>
    </row>
    <row r="129">
      <c r="A129" s="64"/>
      <c r="B129" s="37"/>
      <c r="C129" s="106"/>
      <c r="H129" s="108"/>
    </row>
    <row r="130">
      <c r="H130" s="108"/>
    </row>
    <row r="131">
      <c r="H131" s="108"/>
    </row>
    <row r="132">
      <c r="H132" s="108"/>
    </row>
    <row r="133">
      <c r="H133" s="108"/>
    </row>
    <row r="134">
      <c r="H134" s="108"/>
    </row>
    <row r="135">
      <c r="H135" s="108"/>
    </row>
    <row r="136">
      <c r="H136" s="108"/>
    </row>
    <row r="137">
      <c r="H137" s="108"/>
    </row>
    <row r="138">
      <c r="H138" s="108"/>
    </row>
    <row r="139">
      <c r="H139" s="108"/>
    </row>
    <row r="140">
      <c r="H140" s="108"/>
    </row>
    <row r="141">
      <c r="H141" s="108"/>
    </row>
    <row r="142">
      <c r="H142" s="108"/>
    </row>
    <row r="143">
      <c r="H143" s="108"/>
    </row>
    <row r="144">
      <c r="H144" s="108"/>
    </row>
    <row r="145">
      <c r="H145" s="108"/>
    </row>
    <row r="146">
      <c r="H146" s="108"/>
    </row>
    <row r="147">
      <c r="H147" s="108"/>
    </row>
    <row r="148">
      <c r="H148" s="108"/>
    </row>
    <row r="149">
      <c r="H149" s="108"/>
    </row>
    <row r="150">
      <c r="H150" s="108"/>
    </row>
    <row r="151">
      <c r="H151" s="108"/>
    </row>
    <row r="152">
      <c r="H152" s="108"/>
    </row>
    <row r="153">
      <c r="H153" s="108"/>
    </row>
    <row r="154">
      <c r="H154" s="108"/>
    </row>
    <row r="155">
      <c r="H155" s="108"/>
    </row>
    <row r="156">
      <c r="H156" s="108"/>
    </row>
    <row r="157">
      <c r="H157" s="108"/>
    </row>
    <row r="158">
      <c r="H158" s="108"/>
    </row>
    <row r="159">
      <c r="H159" s="108"/>
    </row>
    <row r="160">
      <c r="H160" s="108"/>
    </row>
    <row r="161">
      <c r="H161" s="108"/>
    </row>
    <row r="162">
      <c r="H162" s="108"/>
    </row>
    <row r="163">
      <c r="H163" s="108"/>
    </row>
    <row r="164">
      <c r="H164" s="108"/>
    </row>
    <row r="165">
      <c r="H165" s="108"/>
    </row>
    <row r="166">
      <c r="H166" s="108"/>
    </row>
    <row r="167">
      <c r="H167" s="108"/>
    </row>
    <row r="168">
      <c r="H168" s="108"/>
    </row>
    <row r="169">
      <c r="H169" s="108"/>
    </row>
    <row r="170">
      <c r="H170" s="108"/>
    </row>
    <row r="171">
      <c r="H171" s="108"/>
    </row>
    <row r="172">
      <c r="H172" s="108"/>
    </row>
    <row r="173">
      <c r="H173" s="108"/>
    </row>
    <row r="174">
      <c r="H174" s="108"/>
    </row>
    <row r="175">
      <c r="H175" s="108"/>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245</v>
      </c>
    </row>
    <row r="2">
      <c r="B2" s="14" t="s">
        <v>246</v>
      </c>
      <c r="C2" s="76" t="s">
        <v>247</v>
      </c>
      <c r="D2" s="14" t="s">
        <v>246</v>
      </c>
    </row>
    <row r="3">
      <c r="B3" s="101">
        <v>100.0</v>
      </c>
      <c r="C3" s="76" t="s">
        <v>248</v>
      </c>
      <c r="D3" s="98">
        <f>(B3*(1/value(VLOOKUP(B2,MoneyRates!A:B,2,FALSE))))*value(VLOOKUP(D2,MoneyRates!A:B,2,FALSE))</f>
        <v>100</v>
      </c>
    </row>
    <row r="5">
      <c r="A5" s="38" t="s">
        <v>249</v>
      </c>
    </row>
    <row r="6">
      <c r="A6" s="14" t="s">
        <v>250</v>
      </c>
      <c r="B6" s="101">
        <v>100000.0</v>
      </c>
    </row>
    <row r="7">
      <c r="A7" s="14" t="s">
        <v>251</v>
      </c>
      <c r="B7" s="101">
        <v>0.0</v>
      </c>
    </row>
    <row r="8">
      <c r="A8" s="14" t="s">
        <v>252</v>
      </c>
      <c r="B8" s="101">
        <v>0.0</v>
      </c>
    </row>
    <row r="9">
      <c r="A9" s="14" t="s">
        <v>253</v>
      </c>
      <c r="B9" s="101">
        <v>0.0</v>
      </c>
    </row>
    <row r="10">
      <c r="A10" s="14" t="s">
        <v>254</v>
      </c>
      <c r="B10" s="101">
        <v>0.0</v>
      </c>
    </row>
    <row r="11">
      <c r="A11" s="14" t="s">
        <v>255</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Inspiring Bard (Change Name)</v>
      </c>
      <c r="C5" s="2"/>
      <c r="D5" s="109"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Pure Elf</v>
      </c>
      <c r="C9" s="2"/>
      <c r="D9" s="13" t="str">
        <f>"🏹 Class: "&amp;IF(Leveler!I2,Leveler!K1&amp;CHAR(10)&amp;"Half Class: "&amp;Leveler!K2,Leveler!K1)</f>
        <v>🏹 Class: Bard</v>
      </c>
      <c r="E9" s="2"/>
    </row>
    <row r="10">
      <c r="B10" s="11" t="str">
        <f>"⚔️ Attack: "&amp;Leveler!B18+F12</f>
        <v>⚔️ Attack: 219</v>
      </c>
      <c r="C10" s="11" t="str">
        <f>"🛡️ Defense: "&amp;Leveler!C18+G12</f>
        <v>🛡️ Defense: 30219</v>
      </c>
      <c r="D10" s="11" t="str">
        <f>"🎯 Accuracy: "&amp;Leveler!D18+H12</f>
        <v>🎯 Accuracy: 219</v>
      </c>
      <c r="E10" s="11" t="str">
        <f>"😇[P] Charisma: "&amp;Leveler!E20+I12</f>
        <v>😇[P] Charisma: 13</v>
      </c>
    </row>
    <row r="11">
      <c r="B11" s="19" t="str">
        <f>"🤯[P] Wisdom: "&amp;Leveler!F20+F14</f>
        <v>🤯[P] Wisdom: 8</v>
      </c>
      <c r="C11" s="11" t="str">
        <f>"❤️[P] Constitution: "&amp;Leveler!G20+G14</f>
        <v>❤️[P] Constitution: 75</v>
      </c>
      <c r="D11" s="11" t="str">
        <f>"🏃‍♀️[P] Evasion: "&amp;Leveler!H20+H14</f>
        <v>🏃‍♀️[P] Evasion: 7</v>
      </c>
      <c r="E11" s="11" t="str">
        <f>"😈[P] Intimidation: "&amp;Leveler!I20+I14</f>
        <v>😈[P] Intimidation: 5</v>
      </c>
    </row>
    <row r="12">
      <c r="B12" s="13" t="str">
        <f>"💡 Intelligence: "&amp;Leveler!K18</f>
        <v>💡 Intelligence: </v>
      </c>
      <c r="C12" s="2"/>
      <c r="D12" s="13" t="str">
        <f>"🏊‍♀🏃‍♀️[P]  Mobility: "&amp;Leveler!J20</f>
        <v>🏊‍♀🏃‍♀️[P]  Mobility: 5</v>
      </c>
      <c r="E12" s="2"/>
    </row>
    <row r="13">
      <c r="B13" s="24" t="str">
        <f>"❤️ HP: "&amp;Leveler!B23-F10&amp;"/"&amp;Leveler!B23</f>
        <v>❤️ HP: 594/594</v>
      </c>
      <c r="C13" s="2"/>
      <c r="D13" s="24" t="str">
        <f>"🧪 SP: "&amp;Leveler!C23-G10&amp;"/"&amp;Leveler!C23</f>
        <v>🧪 SP: 594/594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Aranea</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+3 Charisma, +3 Wisdom, +2 Evasion
25% chance to be unaffected by spells casted by enemies.</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Select 3 of any element (Excluding Zen)
SP costs for Spells are halved. 
Start with one of the following instruments required to cast spells: lap harp, drum, flute, bagpipe, fiddle, lute.
Must have an instrument equipped to cast spells.
Can use Wisdom when attacking with a hit/miss spell.
Enhanced Class Bonuses: Rank 9 in all Elements (excluding Zen)
While you have a Instrument equipped, Acoustic Attacks do an additional X6 damage.
X2 additional Spell damage.
Entertain - The INN town service costs nothing for you.
Entertain II - When you go to a INN you recieve d20 times 1000 gilders. You can only use this ability once every 30 days of travel.</v>
      </c>
      <c r="C18" s="6"/>
      <c r="D18" s="6"/>
      <c r="E18" s="2"/>
    </row>
    <row r="19">
      <c r="B19" s="13" t="str">
        <f>Character!B20</f>
        <v>Other Bonuses: </v>
      </c>
      <c r="C19" s="6"/>
      <c r="D19" s="6"/>
      <c r="E19" s="2"/>
    </row>
    <row r="20">
      <c r="B20" s="13" t="str">
        <f>Character!B21</f>
        <v>Resistances: 
Vulnerabilities: </v>
      </c>
      <c r="C20" s="6"/>
      <c r="D20" s="6"/>
      <c r="E20" s="2"/>
    </row>
    <row r="21">
      <c r="B21" s="110" t="s">
        <v>256</v>
      </c>
      <c r="C21" s="6"/>
      <c r="D21" s="6"/>
      <c r="E21" s="2"/>
    </row>
    <row r="22">
      <c r="B22" s="111"/>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2" t="s">
        <v>257</v>
      </c>
      <c r="I1" s="91"/>
      <c r="J1" s="91"/>
    </row>
    <row r="2">
      <c r="A2" s="96"/>
      <c r="B2" s="96"/>
      <c r="C2" s="91"/>
      <c r="D2" s="91"/>
      <c r="E2" s="91"/>
      <c r="F2" s="91"/>
      <c r="G2" s="91"/>
      <c r="H2" s="91"/>
      <c r="I2" s="91"/>
      <c r="J2" s="91"/>
    </row>
    <row r="3">
      <c r="A3" s="96" t="s">
        <v>24</v>
      </c>
      <c r="B3" s="96" t="s">
        <v>183</v>
      </c>
      <c r="C3" s="91" t="s">
        <v>214</v>
      </c>
      <c r="D3" s="91" t="s">
        <v>215</v>
      </c>
      <c r="E3" s="91" t="s">
        <v>216</v>
      </c>
      <c r="F3" s="91" t="s">
        <v>26</v>
      </c>
      <c r="G3" s="91" t="s">
        <v>217</v>
      </c>
      <c r="H3" s="91" t="s">
        <v>181</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258</v>
      </c>
      <c r="G1" s="38" t="s">
        <v>259</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260</v>
      </c>
      <c r="B1" s="91" t="s">
        <v>261</v>
      </c>
      <c r="C1" s="91" t="s">
        <v>262</v>
      </c>
      <c r="D1" s="91" t="s">
        <v>82</v>
      </c>
      <c r="E1" s="91" t="s">
        <v>263</v>
      </c>
      <c r="F1" s="38" t="s">
        <v>258</v>
      </c>
      <c r="G1" s="39" t="s">
        <v>264</v>
      </c>
      <c r="H1" s="39" t="s">
        <v>265</v>
      </c>
      <c r="I1" s="39" t="s">
        <v>259</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3" t="b">
        <v>0</v>
      </c>
      <c r="H2" s="113" t="b">
        <v>0</v>
      </c>
      <c r="I2" s="113"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3" t="b">
        <v>0</v>
      </c>
      <c r="H3" s="113" t="b">
        <v>0</v>
      </c>
      <c r="I3" s="113"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3" t="b">
        <v>0</v>
      </c>
      <c r="H4" s="113" t="b">
        <v>0</v>
      </c>
      <c r="I4" s="113"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3" t="b">
        <v>0</v>
      </c>
      <c r="H5" s="113" t="b">
        <v>0</v>
      </c>
      <c r="I5" s="113"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3" t="b">
        <v>0</v>
      </c>
      <c r="H6" s="113" t="b">
        <v>0</v>
      </c>
      <c r="I6" s="113"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3" t="b">
        <v>0</v>
      </c>
      <c r="H7" s="113" t="b">
        <v>0</v>
      </c>
      <c r="I7" s="113"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3" t="b">
        <v>0</v>
      </c>
      <c r="H8" s="113" t="b">
        <v>0</v>
      </c>
      <c r="I8" s="113"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3" t="b">
        <v>0</v>
      </c>
      <c r="H9" s="113" t="b">
        <v>0</v>
      </c>
      <c r="I9" s="113"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3" t="b">
        <v>0</v>
      </c>
      <c r="H10" s="113" t="b">
        <v>0</v>
      </c>
      <c r="I10" s="113"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3" t="b">
        <v>0</v>
      </c>
      <c r="H11" s="113" t="b">
        <v>0</v>
      </c>
      <c r="I11" s="113"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3" t="b">
        <v>0</v>
      </c>
      <c r="H12" s="113" t="b">
        <v>0</v>
      </c>
      <c r="I12" s="113"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3" t="b">
        <v>0</v>
      </c>
      <c r="H13" s="113" t="b">
        <v>0</v>
      </c>
      <c r="I13" s="113"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3" t="b">
        <v>0</v>
      </c>
      <c r="H14" s="113" t="b">
        <v>0</v>
      </c>
      <c r="I14" s="113"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3" t="b">
        <v>0</v>
      </c>
      <c r="H15" s="113" t="b">
        <v>0</v>
      </c>
      <c r="I15" s="113"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3" t="b">
        <v>0</v>
      </c>
      <c r="H16" s="113" t="b">
        <v>0</v>
      </c>
      <c r="I16" s="113"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3" t="b">
        <v>0</v>
      </c>
      <c r="H17" s="113" t="b">
        <v>0</v>
      </c>
      <c r="I17" s="113"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3" t="b">
        <v>0</v>
      </c>
      <c r="H18" s="113" t="b">
        <v>0</v>
      </c>
      <c r="I18" s="113"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3" t="b">
        <v>0</v>
      </c>
      <c r="H19" s="113" t="b">
        <v>0</v>
      </c>
      <c r="I19" s="113"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3" t="b">
        <v>0</v>
      </c>
      <c r="H20" s="113" t="b">
        <v>0</v>
      </c>
      <c r="I20" s="113"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3" t="b">
        <v>0</v>
      </c>
      <c r="H21" s="113" t="b">
        <v>0</v>
      </c>
      <c r="I21" s="113"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3" t="b">
        <v>0</v>
      </c>
      <c r="H22" s="113" t="b">
        <v>0</v>
      </c>
      <c r="I22" s="113"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3" t="b">
        <v>0</v>
      </c>
      <c r="H23" s="113" t="b">
        <v>0</v>
      </c>
      <c r="I23" s="113"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3" t="b">
        <v>0</v>
      </c>
      <c r="H24" s="113" t="b">
        <v>0</v>
      </c>
      <c r="I24" s="113"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3" t="b">
        <v>0</v>
      </c>
      <c r="H25" s="113" t="b">
        <v>0</v>
      </c>
      <c r="I25" s="113"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3" t="b">
        <v>0</v>
      </c>
      <c r="H26" s="113" t="b">
        <v>0</v>
      </c>
      <c r="I26" s="113"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3" t="b">
        <v>0</v>
      </c>
      <c r="H27" s="113" t="b">
        <v>0</v>
      </c>
      <c r="I27" s="113"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3" t="b">
        <v>0</v>
      </c>
      <c r="H28" s="113" t="b">
        <v>0</v>
      </c>
      <c r="I28" s="113"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3" t="b">
        <v>0</v>
      </c>
      <c r="H29" s="113" t="b">
        <v>0</v>
      </c>
      <c r="I29" s="113"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3" t="b">
        <v>0</v>
      </c>
      <c r="H30" s="113" t="b">
        <v>0</v>
      </c>
      <c r="I30" s="113"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3" t="b">
        <v>0</v>
      </c>
      <c r="H31" s="113" t="b">
        <v>0</v>
      </c>
      <c r="I31" s="113"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3" t="b">
        <v>0</v>
      </c>
      <c r="H32" s="113" t="b">
        <v>0</v>
      </c>
      <c r="I32" s="113"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3" t="b">
        <v>0</v>
      </c>
      <c r="H33" s="113" t="b">
        <v>0</v>
      </c>
      <c r="I33" s="113"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3" t="b">
        <v>0</v>
      </c>
      <c r="H34" s="113" t="b">
        <v>0</v>
      </c>
      <c r="I34" s="113"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3" t="b">
        <v>0</v>
      </c>
      <c r="H35" s="113" t="b">
        <v>0</v>
      </c>
      <c r="I35" s="113"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3" t="b">
        <v>0</v>
      </c>
      <c r="H36" s="113" t="b">
        <v>0</v>
      </c>
      <c r="I36" s="113"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3" t="b">
        <v>0</v>
      </c>
      <c r="H37" s="113" t="b">
        <v>0</v>
      </c>
      <c r="I37" s="113"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3" t="b">
        <v>0</v>
      </c>
      <c r="H38" s="113" t="b">
        <v>0</v>
      </c>
      <c r="I38" s="113"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3" t="b">
        <v>0</v>
      </c>
      <c r="H39" s="113" t="b">
        <v>0</v>
      </c>
      <c r="I39" s="113"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3" t="b">
        <v>0</v>
      </c>
      <c r="H40" s="113" t="b">
        <v>0</v>
      </c>
      <c r="I40" s="113"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3" t="b">
        <v>0</v>
      </c>
      <c r="H41" s="113" t="b">
        <v>0</v>
      </c>
      <c r="I41" s="113"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3" t="b">
        <v>0</v>
      </c>
      <c r="H42" s="113" t="b">
        <v>0</v>
      </c>
      <c r="I42" s="113"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3" t="b">
        <v>0</v>
      </c>
      <c r="H43" s="113" t="b">
        <v>0</v>
      </c>
      <c r="I43" s="113"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3" t="b">
        <v>0</v>
      </c>
      <c r="H44" s="113" t="b">
        <v>0</v>
      </c>
      <c r="I44" s="113"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3" t="b">
        <v>0</v>
      </c>
      <c r="H45" s="113" t="b">
        <v>0</v>
      </c>
      <c r="I45" s="113"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3" t="b">
        <v>0</v>
      </c>
      <c r="H46" s="113" t="b">
        <v>0</v>
      </c>
      <c r="I46" s="113"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3" t="b">
        <v>0</v>
      </c>
      <c r="H47" s="113" t="b">
        <v>0</v>
      </c>
      <c r="I47" s="113"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3" t="b">
        <v>0</v>
      </c>
      <c r="H48" s="113" t="b">
        <v>0</v>
      </c>
      <c r="I48" s="113"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3" t="b">
        <v>0</v>
      </c>
      <c r="H49" s="113" t="b">
        <v>0</v>
      </c>
      <c r="I49" s="113"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3" t="b">
        <v>0</v>
      </c>
      <c r="H50" s="113" t="b">
        <v>0</v>
      </c>
      <c r="I50" s="113"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3" t="b">
        <v>0</v>
      </c>
      <c r="H51" s="113" t="b">
        <v>0</v>
      </c>
      <c r="I51" s="113"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3" t="b">
        <v>0</v>
      </c>
      <c r="H52" s="113" t="b">
        <v>0</v>
      </c>
      <c r="I52" s="113"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3" t="b">
        <v>0</v>
      </c>
      <c r="H53" s="113" t="b">
        <v>0</v>
      </c>
      <c r="I53" s="113"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3" t="b">
        <v>0</v>
      </c>
      <c r="H54" s="113" t="b">
        <v>0</v>
      </c>
      <c r="I54" s="113"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3" t="b">
        <v>0</v>
      </c>
      <c r="H55" s="113" t="b">
        <v>0</v>
      </c>
      <c r="I55" s="113"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3" t="b">
        <v>0</v>
      </c>
      <c r="H56" s="113" t="b">
        <v>0</v>
      </c>
      <c r="I56" s="113"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3" t="b">
        <v>0</v>
      </c>
      <c r="H57" s="113" t="b">
        <v>0</v>
      </c>
      <c r="I57" s="113"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3" t="b">
        <v>0</v>
      </c>
      <c r="H58" s="113" t="b">
        <v>0</v>
      </c>
      <c r="I58" s="113"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3" t="b">
        <v>0</v>
      </c>
      <c r="H59" s="113" t="b">
        <v>0</v>
      </c>
      <c r="I59" s="113"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3" t="b">
        <v>0</v>
      </c>
      <c r="H60" s="113" t="b">
        <v>0</v>
      </c>
      <c r="I60" s="113"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3" t="b">
        <v>0</v>
      </c>
      <c r="H61" s="113" t="b">
        <v>0</v>
      </c>
      <c r="I61" s="113"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3" t="b">
        <v>0</v>
      </c>
      <c r="H62" s="113" t="b">
        <v>0</v>
      </c>
      <c r="I62" s="113"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3" t="b">
        <v>0</v>
      </c>
      <c r="H63" s="113" t="b">
        <v>0</v>
      </c>
      <c r="I63" s="113"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3" t="b">
        <v>0</v>
      </c>
      <c r="H64" s="113" t="b">
        <v>0</v>
      </c>
      <c r="I64" s="113"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3" t="b">
        <v>0</v>
      </c>
      <c r="H65" s="113" t="b">
        <v>0</v>
      </c>
      <c r="I65" s="113"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3" t="b">
        <v>0</v>
      </c>
      <c r="H66" s="113" t="b">
        <v>0</v>
      </c>
      <c r="I66" s="113"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3" t="b">
        <v>0</v>
      </c>
      <c r="H67" s="113" t="b">
        <v>0</v>
      </c>
      <c r="I67" s="113"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4" t="b">
        <v>0</v>
      </c>
      <c r="H68" s="114" t="b">
        <v>0</v>
      </c>
      <c r="I68" s="114"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4" t="b">
        <v>0</v>
      </c>
      <c r="H69" s="114" t="b">
        <v>0</v>
      </c>
      <c r="I69" s="114"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4" t="b">
        <v>0</v>
      </c>
      <c r="H70" s="114" t="b">
        <v>0</v>
      </c>
      <c r="I70" s="114"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4" t="b">
        <v>0</v>
      </c>
      <c r="H71" s="114" t="b">
        <v>0</v>
      </c>
      <c r="I71" s="114"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4" t="b">
        <v>0</v>
      </c>
      <c r="H72" s="114" t="b">
        <v>0</v>
      </c>
      <c r="I72" s="114"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4" t="b">
        <v>0</v>
      </c>
      <c r="H73" s="114" t="b">
        <v>0</v>
      </c>
      <c r="I73" s="114"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4" t="b">
        <v>0</v>
      </c>
      <c r="H74" s="114" t="b">
        <v>0</v>
      </c>
      <c r="I74" s="114"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4" t="b">
        <v>0</v>
      </c>
      <c r="H75" s="114" t="b">
        <v>0</v>
      </c>
      <c r="I75" s="114"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4" t="b">
        <v>0</v>
      </c>
      <c r="H76" s="114" t="b">
        <v>0</v>
      </c>
      <c r="I76" s="114"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4" t="b">
        <v>0</v>
      </c>
      <c r="H77" s="114" t="b">
        <v>0</v>
      </c>
      <c r="I77" s="114"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4" t="b">
        <v>0</v>
      </c>
      <c r="H78" s="114" t="b">
        <v>0</v>
      </c>
      <c r="I78" s="114"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4" t="b">
        <v>0</v>
      </c>
      <c r="H79" s="114" t="b">
        <v>0</v>
      </c>
      <c r="I79" s="114"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4" t="b">
        <v>0</v>
      </c>
      <c r="H80" s="114" t="b">
        <v>0</v>
      </c>
      <c r="I80" s="114"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4" t="b">
        <v>0</v>
      </c>
      <c r="H81" s="114" t="b">
        <v>0</v>
      </c>
      <c r="I81" s="114"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4" t="b">
        <v>0</v>
      </c>
      <c r="H82" s="114" t="b">
        <v>0</v>
      </c>
      <c r="I82" s="114"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4" t="b">
        <v>0</v>
      </c>
      <c r="H83" s="114" t="b">
        <v>0</v>
      </c>
      <c r="I83" s="114"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4" t="b">
        <v>0</v>
      </c>
      <c r="H84" s="114" t="b">
        <v>0</v>
      </c>
      <c r="I84" s="114"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4" t="b">
        <v>0</v>
      </c>
      <c r="H85" s="114" t="b">
        <v>0</v>
      </c>
      <c r="I85" s="114"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4" t="b">
        <v>0</v>
      </c>
      <c r="H86" s="114" t="b">
        <v>0</v>
      </c>
      <c r="I86" s="114"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4" t="b">
        <v>0</v>
      </c>
      <c r="H87" s="114" t="b">
        <v>0</v>
      </c>
      <c r="I87" s="114"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4" t="b">
        <v>0</v>
      </c>
      <c r="H88" s="114" t="b">
        <v>0</v>
      </c>
      <c r="I88" s="114"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4" t="b">
        <v>0</v>
      </c>
      <c r="H89" s="114" t="b">
        <v>0</v>
      </c>
      <c r="I89" s="114"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4" t="b">
        <v>0</v>
      </c>
      <c r="H90" s="114" t="b">
        <v>0</v>
      </c>
      <c r="I90" s="114"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4" t="b">
        <v>0</v>
      </c>
      <c r="H91" s="114" t="b">
        <v>0</v>
      </c>
      <c r="I91" s="114"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4" t="b">
        <v>0</v>
      </c>
      <c r="H92" s="114" t="b">
        <v>0</v>
      </c>
      <c r="I92" s="114"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4" t="b">
        <v>0</v>
      </c>
      <c r="H93" s="114" t="b">
        <v>0</v>
      </c>
      <c r="I93" s="114"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4" t="b">
        <v>0</v>
      </c>
      <c r="H94" s="114" t="b">
        <v>0</v>
      </c>
      <c r="I94" s="114"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4" t="b">
        <v>0</v>
      </c>
      <c r="H95" s="114" t="b">
        <v>0</v>
      </c>
      <c r="I95" s="114"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4" t="b">
        <v>0</v>
      </c>
      <c r="H96" s="114" t="b">
        <v>0</v>
      </c>
      <c r="I96" s="114"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4" t="b">
        <v>0</v>
      </c>
      <c r="H97" s="114" t="b">
        <v>0</v>
      </c>
      <c r="I97" s="114"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4" t="b">
        <v>0</v>
      </c>
      <c r="H98" s="114" t="b">
        <v>0</v>
      </c>
      <c r="I98" s="114"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4" t="b">
        <v>0</v>
      </c>
      <c r="H99" s="114" t="b">
        <v>0</v>
      </c>
      <c r="I99" s="114"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4" t="b">
        <v>0</v>
      </c>
      <c r="H100" s="114" t="b">
        <v>0</v>
      </c>
      <c r="I100" s="114"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4" t="b">
        <v>0</v>
      </c>
      <c r="H101" s="114" t="b">
        <v>0</v>
      </c>
      <c r="I101" s="114"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4" t="b">
        <v>0</v>
      </c>
      <c r="H102" s="114" t="b">
        <v>0</v>
      </c>
      <c r="I102" s="114"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4" t="b">
        <v>0</v>
      </c>
      <c r="H103" s="114" t="b">
        <v>0</v>
      </c>
      <c r="I103" s="114"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4" t="b">
        <v>0</v>
      </c>
      <c r="H104" s="114" t="b">
        <v>0</v>
      </c>
      <c r="I104" s="114"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4" t="b">
        <v>0</v>
      </c>
      <c r="H105" s="114" t="b">
        <v>0</v>
      </c>
      <c r="I105" s="114"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4" t="b">
        <v>0</v>
      </c>
      <c r="H106" s="114" t="b">
        <v>0</v>
      </c>
      <c r="I106" s="114"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4" t="b">
        <v>0</v>
      </c>
      <c r="H107" s="114" t="b">
        <v>0</v>
      </c>
      <c r="I107" s="114"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4" t="b">
        <v>0</v>
      </c>
      <c r="H108" s="114" t="b">
        <v>0</v>
      </c>
      <c r="I108" s="114"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4" t="b">
        <v>0</v>
      </c>
      <c r="H109" s="114" t="b">
        <v>0</v>
      </c>
      <c r="I109" s="114"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4" t="b">
        <v>0</v>
      </c>
      <c r="H110" s="114" t="b">
        <v>0</v>
      </c>
      <c r="I110" s="114"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4" t="b">
        <v>0</v>
      </c>
      <c r="H111" s="114" t="b">
        <v>0</v>
      </c>
      <c r="I111" s="114"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4" t="b">
        <v>0</v>
      </c>
      <c r="H112" s="114" t="b">
        <v>0</v>
      </c>
      <c r="I112" s="114"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4" t="b">
        <v>0</v>
      </c>
      <c r="H113" s="114" t="b">
        <v>0</v>
      </c>
      <c r="I113" s="114"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4" t="b">
        <v>0</v>
      </c>
      <c r="H114" s="114" t="b">
        <v>0</v>
      </c>
      <c r="I114" s="114"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4" t="b">
        <v>0</v>
      </c>
      <c r="H115" s="114" t="b">
        <v>0</v>
      </c>
      <c r="I115" s="114"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4" t="b">
        <v>0</v>
      </c>
      <c r="H116" s="114" t="b">
        <v>0</v>
      </c>
      <c r="I116" s="114"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4" t="b">
        <v>0</v>
      </c>
      <c r="H117" s="114" t="b">
        <v>0</v>
      </c>
      <c r="I117" s="114"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4" t="b">
        <v>0</v>
      </c>
      <c r="H118" s="114" t="b">
        <v>0</v>
      </c>
      <c r="I118" s="114"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4" t="b">
        <v>0</v>
      </c>
      <c r="H119" s="114" t="b">
        <v>0</v>
      </c>
      <c r="I119" s="114"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4" t="b">
        <v>0</v>
      </c>
      <c r="H120" s="114" t="b">
        <v>0</v>
      </c>
      <c r="I120" s="114"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4" t="b">
        <v>0</v>
      </c>
      <c r="H121" s="114" t="b">
        <v>0</v>
      </c>
      <c r="I121" s="114"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4" t="b">
        <v>0</v>
      </c>
      <c r="H122" s="114" t="b">
        <v>0</v>
      </c>
      <c r="I122" s="114"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4" t="b">
        <v>0</v>
      </c>
      <c r="H123" s="114" t="b">
        <v>0</v>
      </c>
      <c r="I123" s="114"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4" t="b">
        <v>0</v>
      </c>
      <c r="H124" s="114" t="b">
        <v>0</v>
      </c>
      <c r="I124" s="114"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4" t="b">
        <v>0</v>
      </c>
      <c r="H125" s="114" t="b">
        <v>0</v>
      </c>
      <c r="I125" s="114"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4" t="b">
        <v>0</v>
      </c>
      <c r="H126" s="114" t="b">
        <v>0</v>
      </c>
      <c r="I126" s="114"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4" t="b">
        <v>0</v>
      </c>
      <c r="H127" s="114" t="b">
        <v>0</v>
      </c>
      <c r="I127" s="114"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4" t="b">
        <v>0</v>
      </c>
      <c r="H128" s="114" t="b">
        <v>0</v>
      </c>
      <c r="I128" s="114"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4" t="b">
        <v>0</v>
      </c>
      <c r="H129" s="114" t="b">
        <v>0</v>
      </c>
      <c r="I129" s="114"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4" t="b">
        <v>0</v>
      </c>
      <c r="H130" s="114" t="b">
        <v>0</v>
      </c>
      <c r="I130" s="114"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4" t="b">
        <v>0</v>
      </c>
      <c r="H131" s="114" t="b">
        <v>0</v>
      </c>
      <c r="I131" s="114"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4" t="b">
        <v>0</v>
      </c>
      <c r="H132" s="114" t="b">
        <v>0</v>
      </c>
      <c r="I132" s="114"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4" t="b">
        <v>0</v>
      </c>
      <c r="H133" s="114" t="b">
        <v>0</v>
      </c>
      <c r="I133" s="114"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4" t="b">
        <v>0</v>
      </c>
      <c r="H134" s="114" t="b">
        <v>0</v>
      </c>
      <c r="I134" s="114"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4" t="b">
        <v>0</v>
      </c>
      <c r="H135" s="114" t="b">
        <v>0</v>
      </c>
      <c r="I135" s="114"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4" t="b">
        <v>0</v>
      </c>
      <c r="H136" s="114" t="b">
        <v>0</v>
      </c>
      <c r="I136" s="114"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4" t="b">
        <v>0</v>
      </c>
      <c r="H137" s="114" t="b">
        <v>0</v>
      </c>
      <c r="I137" s="114"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4" t="b">
        <v>0</v>
      </c>
      <c r="H138" s="114" t="b">
        <v>0</v>
      </c>
      <c r="I138" s="114"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4" t="b">
        <v>0</v>
      </c>
      <c r="H139" s="114" t="b">
        <v>0</v>
      </c>
      <c r="I139" s="114"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4" t="b">
        <v>0</v>
      </c>
      <c r="H140" s="114" t="b">
        <v>0</v>
      </c>
      <c r="I140" s="114"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4" t="b">
        <v>0</v>
      </c>
      <c r="H141" s="114" t="b">
        <v>0</v>
      </c>
      <c r="I141" s="114"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4" t="b">
        <v>0</v>
      </c>
      <c r="H142" s="114" t="b">
        <v>0</v>
      </c>
      <c r="I142" s="114"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4" t="b">
        <v>0</v>
      </c>
      <c r="H143" s="114" t="b">
        <v>0</v>
      </c>
      <c r="I143" s="114"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4" t="b">
        <v>0</v>
      </c>
      <c r="H144" s="114" t="b">
        <v>0</v>
      </c>
      <c r="I144" s="114"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4" t="b">
        <v>0</v>
      </c>
      <c r="H145" s="114" t="b">
        <v>0</v>
      </c>
      <c r="I145" s="114"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4" t="b">
        <v>0</v>
      </c>
      <c r="H146" s="114" t="b">
        <v>0</v>
      </c>
      <c r="I146" s="114"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4" t="b">
        <v>0</v>
      </c>
      <c r="H147" s="114" t="b">
        <v>0</v>
      </c>
      <c r="I147" s="114"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4" t="b">
        <v>0</v>
      </c>
      <c r="H148" s="114" t="b">
        <v>0</v>
      </c>
      <c r="I148" s="114"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4" t="b">
        <v>0</v>
      </c>
      <c r="H149" s="114" t="b">
        <v>0</v>
      </c>
      <c r="I149" s="114"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4" t="b">
        <v>0</v>
      </c>
      <c r="H150" s="114" t="b">
        <v>0</v>
      </c>
      <c r="I150" s="114"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4" t="b">
        <v>0</v>
      </c>
      <c r="H151" s="114" t="b">
        <v>0</v>
      </c>
      <c r="I151" s="114"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4" t="b">
        <v>0</v>
      </c>
      <c r="H152" s="114" t="b">
        <v>0</v>
      </c>
      <c r="I152" s="114"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4" t="b">
        <v>0</v>
      </c>
      <c r="H153" s="114" t="b">
        <v>0</v>
      </c>
      <c r="I153" s="114"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4" t="b">
        <v>0</v>
      </c>
      <c r="H154" s="114" t="b">
        <v>0</v>
      </c>
      <c r="I154" s="114"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4" t="b">
        <v>0</v>
      </c>
      <c r="H155" s="114" t="b">
        <v>0</v>
      </c>
      <c r="I155" s="114"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4" t="b">
        <v>0</v>
      </c>
      <c r="H156" s="114" t="b">
        <v>0</v>
      </c>
      <c r="I156" s="114"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4" t="b">
        <v>0</v>
      </c>
      <c r="H157" s="114" t="b">
        <v>0</v>
      </c>
      <c r="I157" s="114"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4" t="b">
        <v>0</v>
      </c>
      <c r="H158" s="114" t="b">
        <v>0</v>
      </c>
      <c r="I158" s="114"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4" t="b">
        <v>0</v>
      </c>
      <c r="H159" s="114" t="b">
        <v>0</v>
      </c>
      <c r="I159" s="114"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4" t="b">
        <v>0</v>
      </c>
      <c r="H160" s="114" t="b">
        <v>0</v>
      </c>
      <c r="I160" s="114"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4" t="b">
        <v>0</v>
      </c>
      <c r="H161" s="114" t="b">
        <v>0</v>
      </c>
      <c r="I161" s="114"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4" t="b">
        <v>0</v>
      </c>
      <c r="H162" s="114" t="b">
        <v>0</v>
      </c>
      <c r="I162" s="114"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4" t="b">
        <v>0</v>
      </c>
      <c r="H163" s="114" t="b">
        <v>0</v>
      </c>
      <c r="I163" s="114"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4" t="b">
        <v>0</v>
      </c>
      <c r="H164" s="114" t="b">
        <v>0</v>
      </c>
      <c r="I164" s="114"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4" t="b">
        <v>0</v>
      </c>
      <c r="H165" s="114" t="b">
        <v>0</v>
      </c>
      <c r="I165" s="114"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4" t="b">
        <v>0</v>
      </c>
      <c r="H166" s="114" t="b">
        <v>0</v>
      </c>
      <c r="I166" s="114"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4" t="b">
        <v>0</v>
      </c>
      <c r="H167" s="114" t="b">
        <v>0</v>
      </c>
      <c r="I167" s="114"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4" t="b">
        <v>0</v>
      </c>
      <c r="H168" s="114" t="b">
        <v>0</v>
      </c>
      <c r="I168" s="114"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4" t="b">
        <v>0</v>
      </c>
      <c r="H169" s="114" t="b">
        <v>0</v>
      </c>
      <c r="I169" s="114"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4" t="b">
        <v>0</v>
      </c>
      <c r="H170" s="114" t="b">
        <v>0</v>
      </c>
      <c r="I170" s="114"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4" t="b">
        <v>0</v>
      </c>
      <c r="H171" s="114" t="b">
        <v>0</v>
      </c>
      <c r="I171" s="114"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4" t="b">
        <v>0</v>
      </c>
      <c r="H172" s="114" t="b">
        <v>0</v>
      </c>
      <c r="I172" s="114"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4" t="b">
        <v>0</v>
      </c>
      <c r="H173" s="114" t="b">
        <v>0</v>
      </c>
      <c r="I173" s="114"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4" t="b">
        <v>0</v>
      </c>
      <c r="H174" s="114" t="b">
        <v>0</v>
      </c>
      <c r="I174" s="114"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4" t="b">
        <v>0</v>
      </c>
      <c r="H175" s="114" t="b">
        <v>0</v>
      </c>
      <c r="I175" s="114"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4" t="b">
        <v>0</v>
      </c>
      <c r="H176" s="114" t="b">
        <v>0</v>
      </c>
      <c r="I176" s="114"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4" t="b">
        <v>0</v>
      </c>
      <c r="H177" s="114" t="b">
        <v>0</v>
      </c>
      <c r="I177" s="114"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4" t="b">
        <v>0</v>
      </c>
      <c r="H178" s="114" t="b">
        <v>0</v>
      </c>
      <c r="I178" s="114"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4" t="b">
        <v>0</v>
      </c>
      <c r="H179" s="114" t="b">
        <v>0</v>
      </c>
      <c r="I179" s="114"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4" t="b">
        <v>0</v>
      </c>
      <c r="H180" s="114" t="b">
        <v>0</v>
      </c>
      <c r="I180" s="114"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4" t="b">
        <v>0</v>
      </c>
      <c r="H181" s="114" t="b">
        <v>0</v>
      </c>
      <c r="I181" s="114"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4" t="b">
        <v>0</v>
      </c>
      <c r="H182" s="114" t="b">
        <v>0</v>
      </c>
      <c r="I182" s="114"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4" t="b">
        <v>0</v>
      </c>
      <c r="H183" s="114" t="b">
        <v>0</v>
      </c>
      <c r="I183" s="114"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4" t="b">
        <v>0</v>
      </c>
      <c r="H184" s="114" t="b">
        <v>0</v>
      </c>
      <c r="I184" s="114"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4" t="b">
        <v>0</v>
      </c>
      <c r="H185" s="114" t="b">
        <v>0</v>
      </c>
      <c r="I185" s="114"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4" t="b">
        <v>0</v>
      </c>
      <c r="H186" s="114" t="b">
        <v>0</v>
      </c>
      <c r="I186" s="114"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4" t="b">
        <v>0</v>
      </c>
      <c r="H187" s="114" t="b">
        <v>0</v>
      </c>
      <c r="I187" s="114"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4" t="b">
        <v>0</v>
      </c>
      <c r="H188" s="114" t="b">
        <v>0</v>
      </c>
      <c r="I188" s="114"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4" t="b">
        <v>0</v>
      </c>
      <c r="H189" s="114" t="b">
        <v>0</v>
      </c>
      <c r="I189" s="114"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4" t="b">
        <v>0</v>
      </c>
      <c r="H190" s="114" t="b">
        <v>0</v>
      </c>
      <c r="I190" s="114"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4" t="b">
        <v>0</v>
      </c>
      <c r="H191" s="114" t="b">
        <v>0</v>
      </c>
      <c r="I191" s="114"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4" t="b">
        <v>0</v>
      </c>
      <c r="H192" s="114" t="b">
        <v>0</v>
      </c>
      <c r="I192" s="114"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4" t="b">
        <v>0</v>
      </c>
      <c r="H193" s="114" t="b">
        <v>0</v>
      </c>
      <c r="I193" s="114"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4" t="b">
        <v>0</v>
      </c>
      <c r="H194" s="114" t="b">
        <v>0</v>
      </c>
      <c r="I194" s="114"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4" t="b">
        <v>0</v>
      </c>
      <c r="H195" s="114" t="b">
        <v>0</v>
      </c>
      <c r="I195" s="114"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4" t="b">
        <v>0</v>
      </c>
      <c r="H196" s="114" t="b">
        <v>0</v>
      </c>
      <c r="I196" s="114"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4" t="b">
        <v>0</v>
      </c>
      <c r="H197" s="114" t="b">
        <v>0</v>
      </c>
      <c r="I197" s="114"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4" t="b">
        <v>0</v>
      </c>
      <c r="H198" s="114" t="b">
        <v>0</v>
      </c>
      <c r="I198" s="114"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4" t="b">
        <v>0</v>
      </c>
      <c r="H199" s="114" t="b">
        <v>0</v>
      </c>
      <c r="I199" s="114"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4" t="b">
        <v>0</v>
      </c>
      <c r="H200" s="114" t="b">
        <v>0</v>
      </c>
      <c r="I200" s="114"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4" t="b">
        <v>0</v>
      </c>
      <c r="H201" s="114" t="b">
        <v>0</v>
      </c>
      <c r="I201" s="114"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4" t="b">
        <v>0</v>
      </c>
      <c r="H202" s="114" t="b">
        <v>0</v>
      </c>
      <c r="I202" s="114"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4" t="b">
        <v>0</v>
      </c>
      <c r="H203" s="114" t="b">
        <v>0</v>
      </c>
      <c r="I203" s="114"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4" t="b">
        <v>0</v>
      </c>
      <c r="H204" s="114" t="b">
        <v>0</v>
      </c>
      <c r="I204" s="114"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4" t="b">
        <v>0</v>
      </c>
      <c r="H205" s="114" t="b">
        <v>0</v>
      </c>
      <c r="I205" s="114"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4" t="b">
        <v>0</v>
      </c>
      <c r="H206" s="114" t="b">
        <v>0</v>
      </c>
      <c r="I206" s="114"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4" t="b">
        <v>0</v>
      </c>
      <c r="H207" s="114" t="b">
        <v>0</v>
      </c>
      <c r="I207" s="114"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4" t="b">
        <v>0</v>
      </c>
      <c r="H208" s="114" t="b">
        <v>0</v>
      </c>
      <c r="I208" s="114"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4" t="b">
        <v>0</v>
      </c>
      <c r="H209" s="114" t="b">
        <v>0</v>
      </c>
      <c r="I209" s="114"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4" t="b">
        <v>0</v>
      </c>
      <c r="H210" s="114" t="b">
        <v>0</v>
      </c>
      <c r="I210" s="114"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4" t="b">
        <v>0</v>
      </c>
      <c r="H211" s="114" t="b">
        <v>0</v>
      </c>
      <c r="I211" s="114"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4" t="b">
        <v>0</v>
      </c>
      <c r="H212" s="114" t="b">
        <v>0</v>
      </c>
      <c r="I212" s="114"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4" t="b">
        <v>0</v>
      </c>
      <c r="H213" s="114" t="b">
        <v>0</v>
      </c>
      <c r="I213" s="114"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4" t="b">
        <v>0</v>
      </c>
      <c r="H214" s="114" t="b">
        <v>0</v>
      </c>
      <c r="I214" s="114"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4" t="b">
        <v>0</v>
      </c>
      <c r="H215" s="114" t="b">
        <v>0</v>
      </c>
      <c r="I215" s="114"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4" t="b">
        <v>0</v>
      </c>
      <c r="H216" s="114" t="b">
        <v>0</v>
      </c>
      <c r="I216" s="114"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4" t="b">
        <v>0</v>
      </c>
      <c r="H217" s="114" t="b">
        <v>0</v>
      </c>
      <c r="I217" s="114"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4" t="b">
        <v>0</v>
      </c>
      <c r="H218" s="114" t="b">
        <v>0</v>
      </c>
      <c r="I218" s="114"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4" t="b">
        <v>0</v>
      </c>
      <c r="H219" s="114" t="b">
        <v>0</v>
      </c>
      <c r="I219" s="114"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4" t="b">
        <v>0</v>
      </c>
      <c r="H220" s="114" t="b">
        <v>0</v>
      </c>
      <c r="I220" s="114"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4" t="b">
        <v>0</v>
      </c>
      <c r="H221" s="114" t="b">
        <v>0</v>
      </c>
      <c r="I221" s="114"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4" t="b">
        <v>0</v>
      </c>
      <c r="H222" s="114" t="b">
        <v>0</v>
      </c>
      <c r="I222" s="114"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4" t="b">
        <v>0</v>
      </c>
      <c r="H223" s="114" t="b">
        <v>0</v>
      </c>
      <c r="I223" s="114"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4" t="b">
        <v>0</v>
      </c>
      <c r="H224" s="114" t="b">
        <v>0</v>
      </c>
      <c r="I224" s="114"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4" t="b">
        <v>0</v>
      </c>
      <c r="H225" s="114" t="b">
        <v>0</v>
      </c>
      <c r="I225" s="114"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4" t="b">
        <v>0</v>
      </c>
      <c r="H226" s="114" t="b">
        <v>0</v>
      </c>
      <c r="I226" s="114"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4" t="b">
        <v>0</v>
      </c>
      <c r="H227" s="114" t="b">
        <v>0</v>
      </c>
      <c r="I227" s="114"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4" t="b">
        <v>0</v>
      </c>
      <c r="H228" s="114" t="b">
        <v>0</v>
      </c>
      <c r="I228" s="114"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4" t="b">
        <v>0</v>
      </c>
      <c r="H229" s="114" t="b">
        <v>0</v>
      </c>
      <c r="I229" s="114"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266</v>
      </c>
      <c r="B1" s="38" t="s">
        <v>267</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268</v>
      </c>
      <c r="B1" s="14" t="s">
        <v>269</v>
      </c>
    </row>
    <row r="2">
      <c r="A2" s="14" t="s">
        <v>270</v>
      </c>
      <c r="B2" s="14" t="s">
        <v>271</v>
      </c>
    </row>
    <row r="3">
      <c r="A3" s="14" t="s">
        <v>272</v>
      </c>
      <c r="B3" s="14" t="s">
        <v>273</v>
      </c>
    </row>
    <row r="4">
      <c r="A4" s="14" t="s">
        <v>274</v>
      </c>
      <c r="B4" s="14" t="s">
        <v>275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276</v>
      </c>
      <c r="B1" s="16" t="s">
        <v>183</v>
      </c>
      <c r="C1" s="16" t="s">
        <v>277</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5" t="str">
        <f>IFERROR(__xludf.DUMMYFUNCTION("""COMPUTED_VALUE"""),"The Heroes of Spira")</f>
        <v>The Heroes of Spira</v>
      </c>
      <c r="B2" s="116"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5" t="str">
        <f>IFERROR(__xludf.DUMMYFUNCTION("""COMPUTED_VALUE"""),"Extra Treasure")</f>
        <v>Extra Treasure</v>
      </c>
      <c r="D2" s="117" t="str">
        <f>IFERROR(__xludf.DUMMYFUNCTION("""COMPUTED_VALUE"""),"When rolling for loot Double what you get from your first roll for Mob loot.")</f>
        <v>When rolling for loot Double what you get from your first roll for Mob loot.</v>
      </c>
      <c r="E2" s="117"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5" t="str">
        <f>IFERROR(__xludf.DUMMYFUNCTION("""COMPUTED_VALUE"""),"The Cult of Dreadful")</f>
        <v>The Cult of Dreadful</v>
      </c>
      <c r="B3" s="116"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5" t="str">
        <f>IFERROR(__xludf.DUMMYFUNCTION("""COMPUTED_VALUE"""),"Lesser Pain")</f>
        <v>Lesser Pain</v>
      </c>
      <c r="D3" s="117" t="str">
        <f>IFERROR(__xludf.DUMMYFUNCTION("""COMPUTED_VALUE"""),"Half the HP costs for Blood Spells, and Half the SP costs for Dark, Chaos, and Voodoo Spells.")</f>
        <v>Half the HP costs for Blood Spells, and Half the SP costs for Dark, Chaos, and Voodoo Spells.</v>
      </c>
      <c r="E3" s="117"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5" t="str">
        <f>IFERROR(__xludf.DUMMYFUNCTION("""COMPUTED_VALUE"""),"The Storm Shamans")</f>
        <v>The Storm Shamans</v>
      </c>
      <c r="B4" s="116"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5" t="str">
        <f>IFERROR(__xludf.DUMMYFUNCTION("""COMPUTED_VALUE"""),"Storming Vengeance ")</f>
        <v>Storming Vengeance </v>
      </c>
      <c r="D4" s="117" t="str">
        <f>IFERROR(__xludf.DUMMYFUNCTION("""COMPUTED_VALUE"""),"+5 evasion and mobility if the weather is stormy.")</f>
        <v>+5 evasion and mobility if the weather is stormy.</v>
      </c>
      <c r="E4" s="117"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5" t="str">
        <f>IFERROR(__xludf.DUMMYFUNCTION("""COMPUTED_VALUE"""),"The Graceful Defenders")</f>
        <v>The Graceful Defenders</v>
      </c>
      <c r="B5" s="116"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5" t="str">
        <f>IFERROR(__xludf.DUMMYFUNCTION("""COMPUTED_VALUE"""),"Defending Bond")</f>
        <v>Defending Bond</v>
      </c>
      <c r="D5" s="117"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7"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5" t="str">
        <f>IFERROR(__xludf.DUMMYFUNCTION("""COMPUTED_VALUE"""),"The Guardians of The Forge")</f>
        <v>The Guardians of The Forge</v>
      </c>
      <c r="B6" s="116"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5" t="str">
        <f>IFERROR(__xludf.DUMMYFUNCTION("""COMPUTED_VALUE"""),"Burning Might")</f>
        <v>Burning Might</v>
      </c>
      <c r="D6" s="117" t="str">
        <f>IFERROR(__xludf.DUMMYFUNCTION("""COMPUTED_VALUE"""),"Burn damage dealt to enemies is doubled.")</f>
        <v>Burn damage dealt to enemies is doubled.</v>
      </c>
      <c r="E6" s="117"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5" t="str">
        <f>IFERROR(__xludf.DUMMYFUNCTION("""COMPUTED_VALUE"""),"The Soul Shepherds")</f>
        <v>The Soul Shepherds</v>
      </c>
      <c r="B7" s="116"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5" t="str">
        <f>IFERROR(__xludf.DUMMYFUNCTION("""COMPUTED_VALUE"""),"Soul Harvest")</f>
        <v>Soul Harvest</v>
      </c>
      <c r="D7" s="117" t="str">
        <f>IFERROR(__xludf.DUMMYFUNCTION("""COMPUTED_VALUE"""),"When rolling for loot and you get a soul, you get 2 of that same soul.")</f>
        <v>When rolling for loot and you get a soul, you get 2 of that same soul.</v>
      </c>
      <c r="E7" s="117"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5" t="str">
        <f>IFERROR(__xludf.DUMMYFUNCTION("""COMPUTED_VALUE"""),"The Judges of Abstara")</f>
        <v>The Judges of Abstara</v>
      </c>
      <c r="B8" s="116"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5" t="str">
        <f>IFERROR(__xludf.DUMMYFUNCTION("""COMPUTED_VALUE"""),"Threatening Stare")</f>
        <v>Threatening Stare</v>
      </c>
      <c r="D8" s="117" t="str">
        <f>IFERROR(__xludf.DUMMYFUNCTION("""COMPUTED_VALUE"""),"+5 permanent Intimidation.")</f>
        <v>+5 permanent Intimidation.</v>
      </c>
      <c r="E8" s="117"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5" t="str">
        <f>IFERROR(__xludf.DUMMYFUNCTION("""COMPUTED_VALUE"""),"The Gods of The Sea")</f>
        <v>The Gods of The Sea</v>
      </c>
      <c r="B9" s="116"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5" t="str">
        <f>IFERROR(__xludf.DUMMYFUNCTION("""COMPUTED_VALUE"""),"Healing Fountain")</f>
        <v>Healing Fountain</v>
      </c>
      <c r="D9" s="117" t="str">
        <f>IFERROR(__xludf.DUMMYFUNCTION("""COMPUTED_VALUE"""),"When dealing water damage to an enemy, Your HP and SP will be restored equal to 0.5% of the damage dealt ")</f>
        <v>When dealing water damage to an enemy, Your HP and SP will be restored equal to 0.5% of the damage dealt </v>
      </c>
      <c r="E9" s="117"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5" t="str">
        <f>IFERROR(__xludf.DUMMYFUNCTION("""COMPUTED_VALUE"""),"The God's Quiver")</f>
        <v>The God's Quiver</v>
      </c>
      <c r="B10" s="116"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5" t="str">
        <f>IFERROR(__xludf.DUMMYFUNCTION("""COMPUTED_VALUE"""),"Natures Blessing")</f>
        <v>Natures Blessing</v>
      </c>
      <c r="D10" s="117" t="str">
        <f>IFERROR(__xludf.DUMMYFUNCTION("""COMPUTED_VALUE"""),"When dealing nature damage to an enemy, Your HP and SP will be restored equal to half of the damage dealt ")</f>
        <v>When dealing nature damage to an enemy, Your HP and SP will be restored equal to half of the damage dealt </v>
      </c>
      <c r="E10" s="117"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5" t="str">
        <f>IFERROR(__xludf.DUMMYFUNCTION("""COMPUTED_VALUE"""),"The Exiled Ones")</f>
        <v>The Exiled Ones</v>
      </c>
      <c r="B11" s="116"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5" t="str">
        <f>IFERROR(__xludf.DUMMYFUNCTION("""COMPUTED_VALUE"""),"Panic")</f>
        <v>Panic</v>
      </c>
      <c r="D11" s="117" t="str">
        <f>IFERROR(__xludf.DUMMYFUNCTION("""COMPUTED_VALUE"""),"When adventuring alone or partaking in a party with 3 or less party members, your fleeing rolls are doubled.")</f>
        <v>When adventuring alone or partaking in a party with 3 or less party members, your fleeing rolls are doubled.</v>
      </c>
      <c r="E11" s="117"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5" t="str">
        <f>IFERROR(__xludf.DUMMYFUNCTION("""COMPUTED_VALUE"""),"The Astrologist's")</f>
        <v>The Astrologist's</v>
      </c>
      <c r="B12" s="116"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5" t="str">
        <f>IFERROR(__xludf.DUMMYFUNCTION("""COMPUTED_VALUE"""),"The Universe of Spira")</f>
        <v>The Universe of Spira</v>
      </c>
      <c r="D12" s="117" t="str">
        <f>IFERROR(__xludf.DUMMYFUNCTION("""COMPUTED_VALUE"""),"Astral Spell/Power Attacks will also deal X Celestial damage where X is equal to your accuracy.")</f>
        <v>Astral Spell/Power Attacks will also deal X Celestial damage where X is equal to your accuracy.</v>
      </c>
      <c r="E12" s="117"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5" t="str">
        <f>IFERROR(__xludf.DUMMYFUNCTION("""COMPUTED_VALUE"""),"The Choir of Dionysus")</f>
        <v>The Choir of Dionysus</v>
      </c>
      <c r="B13" s="116"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5" t="str">
        <f>IFERROR(__xludf.DUMMYFUNCTION("""COMPUTED_VALUE"""),"Preaching to the Choir")</f>
        <v>Preaching to the Choir</v>
      </c>
      <c r="D13" s="117" t="str">
        <f>IFERROR(__xludf.DUMMYFUNCTION("""COMPUTED_VALUE"""),"Buffs targetting an ally or self are guaranteed to succeed")</f>
        <v>Buffs targetting an ally or self are guaranteed to succeed</v>
      </c>
      <c r="E13" s="117"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5" t="str">
        <f>IFERROR(__xludf.DUMMYFUNCTION("""COMPUTED_VALUE"""),"The Abbott's")</f>
        <v>The Abbott's</v>
      </c>
      <c r="B14" s="116"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5" t="str">
        <f>IFERROR(__xludf.DUMMYFUNCTION("""COMPUTED_VALUE"""),"Elemental Chi")</f>
        <v>Elemental Chi</v>
      </c>
      <c r="D14" s="117" t="str">
        <f>IFERROR(__xludf.DUMMYFUNCTION("""COMPUTED_VALUE"""),"Take half damage from Fire, Water, Storm, Earth, and Nature.")</f>
        <v>Take half damage from Fire, Water, Storm, Earth, and Nature.</v>
      </c>
      <c r="E14" s="117"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5" t="str">
        <f>IFERROR(__xludf.DUMMYFUNCTION("""COMPUTED_VALUE"""),"Harbingers of The Voidwoken")</f>
        <v>Harbingers of The Voidwoken</v>
      </c>
      <c r="B15" s="116"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5" t="str">
        <f>IFERROR(__xludf.DUMMYFUNCTION("""COMPUTED_VALUE"""),"Harbinger's Bloodlust")</f>
        <v>Harbinger's Bloodlust</v>
      </c>
      <c r="D15" s="117"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7"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5"/>
      <c r="B16" s="115"/>
      <c r="C16" s="115"/>
      <c r="D16" s="115"/>
      <c r="E16" s="115"/>
      <c r="F16" s="16"/>
      <c r="G16" s="16"/>
      <c r="H16" s="16"/>
      <c r="I16" s="16"/>
      <c r="J16" s="16"/>
      <c r="K16" s="16"/>
      <c r="L16" s="16"/>
      <c r="M16" s="16"/>
      <c r="N16" s="16"/>
      <c r="O16" s="16"/>
      <c r="P16" s="16"/>
      <c r="Q16" s="16"/>
      <c r="R16" s="16"/>
      <c r="S16" s="16"/>
      <c r="T16" s="16"/>
      <c r="U16" s="16"/>
      <c r="V16" s="16"/>
      <c r="W16" s="16"/>
      <c r="X16" s="16"/>
      <c r="Y16" s="16"/>
      <c r="Z16" s="16"/>
    </row>
    <row r="17">
      <c r="A17" s="115"/>
      <c r="B17" s="115"/>
      <c r="C17" s="115"/>
      <c r="D17" s="115"/>
      <c r="E17" s="115"/>
      <c r="F17" s="16"/>
      <c r="G17" s="16"/>
      <c r="H17" s="16"/>
      <c r="I17" s="16"/>
      <c r="J17" s="16"/>
      <c r="K17" s="16"/>
      <c r="L17" s="16"/>
      <c r="M17" s="16"/>
      <c r="N17" s="16"/>
      <c r="O17" s="16"/>
      <c r="P17" s="16"/>
      <c r="Q17" s="16"/>
      <c r="R17" s="16"/>
      <c r="S17" s="16"/>
      <c r="T17" s="16"/>
      <c r="U17" s="16"/>
      <c r="V17" s="16"/>
      <c r="W17" s="16"/>
      <c r="X17" s="16"/>
      <c r="Y17" s="16"/>
      <c r="Z17" s="16"/>
    </row>
    <row r="18">
      <c r="A18" s="115"/>
      <c r="B18" s="115"/>
      <c r="C18" s="115"/>
      <c r="D18" s="115"/>
      <c r="E18" s="115"/>
      <c r="F18" s="16"/>
      <c r="G18" s="16"/>
      <c r="H18" s="16"/>
      <c r="I18" s="16"/>
      <c r="J18" s="16"/>
      <c r="K18" s="16"/>
      <c r="L18" s="16"/>
      <c r="M18" s="16"/>
      <c r="N18" s="16"/>
      <c r="O18" s="16"/>
      <c r="P18" s="16"/>
      <c r="Q18" s="16"/>
      <c r="R18" s="16"/>
      <c r="S18" s="16"/>
      <c r="T18" s="16"/>
      <c r="U18" s="16"/>
      <c r="V18" s="16"/>
      <c r="W18" s="16"/>
      <c r="X18" s="16"/>
      <c r="Y18" s="16"/>
      <c r="Z18" s="16"/>
    </row>
    <row r="19">
      <c r="A19" s="115"/>
      <c r="B19" s="115"/>
      <c r="C19" s="115"/>
      <c r="D19" s="115"/>
      <c r="E19" s="115"/>
      <c r="F19" s="16"/>
      <c r="G19" s="16"/>
      <c r="H19" s="16"/>
      <c r="I19" s="16"/>
      <c r="J19" s="16"/>
      <c r="K19" s="16"/>
      <c r="L19" s="16"/>
      <c r="M19" s="16"/>
      <c r="N19" s="16"/>
      <c r="O19" s="16"/>
      <c r="P19" s="16"/>
      <c r="Q19" s="16"/>
      <c r="R19" s="16"/>
      <c r="S19" s="16"/>
      <c r="T19" s="16"/>
      <c r="U19" s="16"/>
      <c r="V19" s="16"/>
      <c r="W19" s="16"/>
      <c r="X19" s="16"/>
      <c r="Y19" s="16"/>
      <c r="Z19" s="16"/>
    </row>
    <row r="20">
      <c r="A20" s="115"/>
      <c r="B20" s="115"/>
      <c r="C20" s="115"/>
      <c r="D20" s="115"/>
      <c r="E20" s="115"/>
      <c r="F20" s="16"/>
      <c r="G20" s="16"/>
      <c r="H20" s="16"/>
      <c r="I20" s="16"/>
      <c r="J20" s="16"/>
      <c r="K20" s="16"/>
      <c r="L20" s="16"/>
      <c r="M20" s="16"/>
      <c r="N20" s="16"/>
      <c r="O20" s="16"/>
      <c r="P20" s="16"/>
      <c r="Q20" s="16"/>
      <c r="R20" s="16"/>
      <c r="S20" s="16"/>
      <c r="T20" s="16"/>
      <c r="U20" s="16"/>
      <c r="V20" s="16"/>
      <c r="W20" s="16"/>
      <c r="X20" s="16"/>
      <c r="Y20" s="16"/>
      <c r="Z20" s="16"/>
    </row>
    <row r="21">
      <c r="A21" s="115"/>
      <c r="B21" s="115"/>
      <c r="C21" s="115"/>
      <c r="D21" s="115"/>
      <c r="E21" s="115"/>
      <c r="F21" s="16"/>
      <c r="G21" s="16"/>
      <c r="H21" s="16"/>
      <c r="I21" s="16"/>
      <c r="J21" s="16"/>
      <c r="K21" s="16"/>
      <c r="L21" s="16"/>
      <c r="M21" s="16"/>
      <c r="N21" s="16"/>
      <c r="O21" s="16"/>
      <c r="P21" s="16"/>
      <c r="Q21" s="16"/>
      <c r="R21" s="16"/>
      <c r="S21" s="16"/>
      <c r="T21" s="16"/>
      <c r="U21" s="16"/>
      <c r="V21" s="16"/>
      <c r="W21" s="16"/>
      <c r="X21" s="16"/>
      <c r="Y21" s="16"/>
      <c r="Z21" s="16"/>
    </row>
    <row r="22">
      <c r="A22" s="115"/>
      <c r="B22" s="115"/>
      <c r="C22" s="115"/>
      <c r="D22" s="115"/>
      <c r="E22" s="115"/>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8">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9"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20"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20">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20">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20">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20">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20">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20">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20">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20">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20">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20">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20">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20">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20">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20">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20">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20">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20">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20">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20">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20">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20">
        <f>IFERROR(__xludf.DUMMYFUNCTION("""COMPUTED_VALUE"""),9.0)</f>
        <v>9</v>
      </c>
      <c r="C22" s="119">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20">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20">
        <f>IFERROR(__xludf.DUMMYFUNCTION("""COMPUTED_VALUE"""),9.0)</f>
        <v>9</v>
      </c>
      <c r="C24" s="119">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20">
        <f>IFERROR(__xludf.DUMMYFUNCTION("""COMPUTED_VALUE"""),9.0)</f>
        <v>9</v>
      </c>
      <c r="C25" s="119">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20">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20">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20">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20">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20">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20">
        <f>IFERROR(__xludf.DUMMYFUNCTION("""COMPUTED_VALUE"""),9.0)</f>
        <v>9</v>
      </c>
      <c r="C31" s="119">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20">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20">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20">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20">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20">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20">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20">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20">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20">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20">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20">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20">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20">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20">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20">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20">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20">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20">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20">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20">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20">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20">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20">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20">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20">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20">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20">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20">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20">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20">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20">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20">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20">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20">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20">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20">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20">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20">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20">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20">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20">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20">
        <f>IFERROR(__xludf.DUMMYFUNCTION("""COMPUTED_VALUE"""),1.0)</f>
        <v>1</v>
      </c>
      <c r="C73" s="121"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20">
        <f>IFERROR(__xludf.DUMMYFUNCTION("""COMPUTED_VALUE"""),9.0)</f>
        <v>9</v>
      </c>
      <c r="C74" s="119">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20">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20">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20">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20">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20">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20">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20">
        <f>IFERROR(__xludf.DUMMYFUNCTION("""COMPUTED_VALUE"""),9.0)</f>
        <v>9</v>
      </c>
      <c r="C81" s="119">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20">
        <f>IFERROR(__xludf.DUMMYFUNCTION("""COMPUTED_VALUE"""),9.0)</f>
        <v>9</v>
      </c>
      <c r="C82" s="119">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20">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20">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20">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20">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20">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20">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20">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20">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20">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20">
        <f>IFERROR(__xludf.DUMMYFUNCTION("""COMPUTED_VALUE"""),9.0)</f>
        <v>9</v>
      </c>
      <c r="C92" s="119">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20">
        <f>IFERROR(__xludf.DUMMYFUNCTION("""COMPUTED_VALUE"""),9.0)</f>
        <v>9</v>
      </c>
      <c r="C93" s="119">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20">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20">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20">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20">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20">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20">
        <f>IFERROR(__xludf.DUMMYFUNCTION("""COMPUTED_VALUE"""),9.0)</f>
        <v>9</v>
      </c>
      <c r="C99" s="119">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20">
        <f>IFERROR(__xludf.DUMMYFUNCTION("""COMPUTED_VALUE"""),9.0)</f>
        <v>9</v>
      </c>
      <c r="C100" s="119">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20">
        <f>IFERROR(__xludf.DUMMYFUNCTION("""COMPUTED_VALUE"""),9.0)</f>
        <v>9</v>
      </c>
      <c r="C101" s="119">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20">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20">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20">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20">
        <f>IFERROR(__xludf.DUMMYFUNCTION("""COMPUTED_VALUE"""),9.0)</f>
        <v>9</v>
      </c>
      <c r="C105" s="119">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20">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20">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20">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20">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20">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20">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20">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20">
        <f>IFERROR(__xludf.DUMMYFUNCTION("""COMPUTED_VALUE"""),9.0)</f>
        <v>9</v>
      </c>
      <c r="C113" s="119">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20">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20">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20">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20">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20">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20">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20">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20">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20">
        <f>IFERROR(__xludf.DUMMYFUNCTION("""COMPUTED_VALUE"""),9.0)</f>
        <v>9</v>
      </c>
      <c r="C122" s="119">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20">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20">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20">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20">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20">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20">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20">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20">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20">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20">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20">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20">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20">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20">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20">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20">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20">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20">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20">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20">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20">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20">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20">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20">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20">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20">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20">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20">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20">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20">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20">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20">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20">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20">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20">
        <f>IFERROR(__xludf.DUMMYFUNCTION("""COMPUTED_VALUE"""),9.0)</f>
        <v>9</v>
      </c>
      <c r="C158" s="119">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20">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20">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20">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20">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20">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20">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20">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20">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20">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20">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20">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20">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20">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20">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20">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20">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20">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20">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20">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20">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20">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20">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20">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20">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20">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20">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20">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20">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20">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20">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20">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20">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20">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20">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20">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20">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20">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20">
        <f>IFERROR(__xludf.DUMMYFUNCTION("""COMPUTED_VALUE"""),0.0)</f>
        <v>0</v>
      </c>
      <c r="C196" s="119">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20">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20">
        <f>IFERROR(__xludf.DUMMYFUNCTION("""COMPUTED_VALUE"""),0.0)</f>
        <v>0</v>
      </c>
      <c r="C198" s="119">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20">
        <f>IFERROR(__xludf.DUMMYFUNCTION("""COMPUTED_VALUE"""),9.0)</f>
        <v>9</v>
      </c>
      <c r="C199" s="119">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20">
        <f>IFERROR(__xludf.DUMMYFUNCTION("""COMPUTED_VALUE"""),1.0)</f>
        <v>1</v>
      </c>
      <c r="C200" s="119">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20">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20">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20">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20">
        <f>IFERROR(__xludf.DUMMYFUNCTION("""COMPUTED_VALUE"""),1.0)</f>
        <v>1</v>
      </c>
      <c r="C204" s="119">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20">
        <f>IFERROR(__xludf.DUMMYFUNCTION("""COMPUTED_VALUE"""),1.0)</f>
        <v>1</v>
      </c>
      <c r="C205" s="119">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20">
        <f>IFERROR(__xludf.DUMMYFUNCTION("""COMPUTED_VALUE"""),1.0)</f>
        <v>1</v>
      </c>
      <c r="C206" s="119">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20">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20">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20">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20">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20">
        <f>IFERROR(__xludf.DUMMYFUNCTION("""COMPUTED_VALUE"""),1.0)</f>
        <v>1</v>
      </c>
      <c r="C211" s="119">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20">
        <f>IFERROR(__xludf.DUMMYFUNCTION("""COMPUTED_VALUE"""),9.0)</f>
        <v>9</v>
      </c>
      <c r="C212" s="119">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20">
        <f>IFERROR(__xludf.DUMMYFUNCTION("""COMPUTED_VALUE"""),1.0)</f>
        <v>1</v>
      </c>
      <c r="C213" s="119">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20">
        <f>IFERROR(__xludf.DUMMYFUNCTION("""COMPUTED_VALUE"""),1.0)</f>
        <v>1</v>
      </c>
      <c r="C214" s="119">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20">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20">
        <f>IFERROR(__xludf.DUMMYFUNCTION("""COMPUTED_VALUE"""),1.0)</f>
        <v>1</v>
      </c>
      <c r="C216" s="119">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20">
        <f>IFERROR(__xludf.DUMMYFUNCTION("""COMPUTED_VALUE"""),1.0)</f>
        <v>1</v>
      </c>
      <c r="C217" s="119">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20">
        <f>IFERROR(__xludf.DUMMYFUNCTION("""COMPUTED_VALUE"""),9.0)</f>
        <v>9</v>
      </c>
      <c r="C218" s="119">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20">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20">
        <f>IFERROR(__xludf.DUMMYFUNCTION("""COMPUTED_VALUE"""),1.0)</f>
        <v>1</v>
      </c>
      <c r="C220" s="119">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20">
        <f>IFERROR(__xludf.DUMMYFUNCTION("""COMPUTED_VALUE"""),9.0)</f>
        <v>9</v>
      </c>
      <c r="C221" s="119">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20">
        <f>IFERROR(__xludf.DUMMYFUNCTION("""COMPUTED_VALUE"""),1.0)</f>
        <v>1</v>
      </c>
      <c r="C222" s="119">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20">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20">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20">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20">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20">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20">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20">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20">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20">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20">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20">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20">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20">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20">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20">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20">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20">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20">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20">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20">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20">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20">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20">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20">
        <f>IFERROR(__xludf.DUMMYFUNCTION("""COMPUTED_VALUE"""),9.0)</f>
        <v>9</v>
      </c>
      <c r="C246" s="121"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20">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20">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20">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20">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20">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20">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20">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20">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20">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20">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20">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20">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20">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20">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20">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20">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20">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20">
        <f>IFERROR(__xludf.DUMMYFUNCTION("""COMPUTED_VALUE"""),9.0)</f>
        <v>9</v>
      </c>
      <c r="C264" s="119">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20">
        <f>IFERROR(__xludf.DUMMYFUNCTION("""COMPUTED_VALUE"""),9.0)</f>
        <v>9</v>
      </c>
      <c r="C265" s="119">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20">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20">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20">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20">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20">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20">
        <f>IFERROR(__xludf.DUMMYFUNCTION("""COMPUTED_VALUE"""),9.0)</f>
        <v>9</v>
      </c>
      <c r="C272" s="119">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20">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20">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20">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20">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20">
        <f>IFERROR(__xludf.DUMMYFUNCTION("""COMPUTED_VALUE"""),1.0)</f>
        <v>1</v>
      </c>
      <c r="C277" s="119">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20">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20">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20">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20">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20">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20">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20">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20">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20">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20">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20">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20">
        <f>IFERROR(__xludf.DUMMYFUNCTION("""COMPUTED_VALUE"""),1.0)</f>
        <v>1</v>
      </c>
      <c r="C289" s="119">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20">
        <f>IFERROR(__xludf.DUMMYFUNCTION("""COMPUTED_VALUE"""),9.0)</f>
        <v>9</v>
      </c>
      <c r="C290" s="119">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20">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20">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20">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20">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20">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20">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20">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20">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20">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20">
        <f>IFERROR(__xludf.DUMMYFUNCTION("""COMPUTED_VALUE"""),4.0)</f>
        <v>4</v>
      </c>
      <c r="C300" s="119">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20">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20">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20">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20">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20">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20">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20">
        <f>IFERROR(__xludf.DUMMYFUNCTION("""COMPUTED_VALUE"""),9.0)</f>
        <v>9</v>
      </c>
      <c r="C307" s="119">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20">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20">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20">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20">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20">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20">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20">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20">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20">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20">
        <f>IFERROR(__xludf.DUMMYFUNCTION("""COMPUTED_VALUE"""),1.0)</f>
        <v>1</v>
      </c>
      <c r="C317" s="119">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20">
        <f>IFERROR(__xludf.DUMMYFUNCTION("""COMPUTED_VALUE"""),1.0)</f>
        <v>1</v>
      </c>
      <c r="C318" s="119">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20">
        <f>IFERROR(__xludf.DUMMYFUNCTION("""COMPUTED_VALUE"""),1.0)</f>
        <v>1</v>
      </c>
      <c r="C319" s="119">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20">
        <f>IFERROR(__xludf.DUMMYFUNCTION("""COMPUTED_VALUE"""),1.0)</f>
        <v>1</v>
      </c>
      <c r="C320" s="119">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20">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20">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20">
        <f>IFERROR(__xludf.DUMMYFUNCTION("""COMPUTED_VALUE"""),1.0)</f>
        <v>1</v>
      </c>
      <c r="C323" s="119">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20">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20">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20">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20">
        <f>IFERROR(__xludf.DUMMYFUNCTION("""COMPUTED_VALUE"""),1.0)</f>
        <v>1</v>
      </c>
      <c r="C327" s="119">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20">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20">
        <f>IFERROR(__xludf.DUMMYFUNCTION("""COMPUTED_VALUE"""),1.0)</f>
        <v>1</v>
      </c>
      <c r="C329" s="119">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20">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20">
        <f>IFERROR(__xludf.DUMMYFUNCTION("""COMPUTED_VALUE"""),1.0)</f>
        <v>1</v>
      </c>
      <c r="C331" s="119">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20">
        <f>IFERROR(__xludf.DUMMYFUNCTION("""COMPUTED_VALUE"""),1.0)</f>
        <v>1</v>
      </c>
      <c r="C332" s="119">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20">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20">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20">
        <f>IFERROR(__xludf.DUMMYFUNCTION("""COMPUTED_VALUE"""),1.0)</f>
        <v>1</v>
      </c>
      <c r="C335" s="119">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20">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20">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20">
        <f>IFERROR(__xludf.DUMMYFUNCTION("""COMPUTED_VALUE"""),1.0)</f>
        <v>1</v>
      </c>
      <c r="C338" s="119">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20">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20">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20">
        <f>IFERROR(__xludf.DUMMYFUNCTION("""COMPUTED_VALUE"""),1.0)</f>
        <v>1</v>
      </c>
      <c r="C341" s="119">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20">
        <f>IFERROR(__xludf.DUMMYFUNCTION("""COMPUTED_VALUE"""),1.0)</f>
        <v>1</v>
      </c>
      <c r="C342" s="119">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20">
        <f>IFERROR(__xludf.DUMMYFUNCTION("""COMPUTED_VALUE"""),1.0)</f>
        <v>1</v>
      </c>
      <c r="C343" s="119">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20">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20">
        <f>IFERROR(__xludf.DUMMYFUNCTION("""COMPUTED_VALUE"""),9.0)</f>
        <v>9</v>
      </c>
      <c r="C345" s="119">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20">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20">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20">
        <f>IFERROR(__xludf.DUMMYFUNCTION("""COMPUTED_VALUE"""),1.0)</f>
        <v>1</v>
      </c>
      <c r="C348" s="119">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20">
        <f>IFERROR(__xludf.DUMMYFUNCTION("""COMPUTED_VALUE"""),1.0)</f>
        <v>1</v>
      </c>
      <c r="C349" s="119">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20">
        <f>IFERROR(__xludf.DUMMYFUNCTION("""COMPUTED_VALUE"""),1.0)</f>
        <v>1</v>
      </c>
      <c r="C350" s="119">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20">
        <f>IFERROR(__xludf.DUMMYFUNCTION("""COMPUTED_VALUE"""),1.0)</f>
        <v>1</v>
      </c>
      <c r="C351" s="119">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20">
        <f>IFERROR(__xludf.DUMMYFUNCTION("""COMPUTED_VALUE"""),1.0)</f>
        <v>1</v>
      </c>
      <c r="C352" s="119">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20">
        <f>IFERROR(__xludf.DUMMYFUNCTION("""COMPUTED_VALUE"""),1.0)</f>
        <v>1</v>
      </c>
      <c r="C353" s="119">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20">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20">
        <f>IFERROR(__xludf.DUMMYFUNCTION("""COMPUTED_VALUE"""),1.0)</f>
        <v>1</v>
      </c>
      <c r="C355" s="119">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20">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20">
        <f>IFERROR(__xludf.DUMMYFUNCTION("""COMPUTED_VALUE"""),1.0)</f>
        <v>1</v>
      </c>
      <c r="C357" s="119">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20">
        <f>IFERROR(__xludf.DUMMYFUNCTION("""COMPUTED_VALUE"""),1.0)</f>
        <v>1</v>
      </c>
      <c r="C358" s="119">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20">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20">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20">
        <f>IFERROR(__xludf.DUMMYFUNCTION("""COMPUTED_VALUE"""),1.0)</f>
        <v>1</v>
      </c>
      <c r="C361" s="119">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20">
        <f>IFERROR(__xludf.DUMMYFUNCTION("""COMPUTED_VALUE"""),1.0)</f>
        <v>1</v>
      </c>
      <c r="C362" s="119">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20">
        <f>IFERROR(__xludf.DUMMYFUNCTION("""COMPUTED_VALUE"""),1.0)</f>
        <v>1</v>
      </c>
      <c r="C363" s="119">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20">
        <f>IFERROR(__xludf.DUMMYFUNCTION("""COMPUTED_VALUE"""),9.0)</f>
        <v>9</v>
      </c>
      <c r="C364" s="119">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20">
        <f>IFERROR(__xludf.DUMMYFUNCTION("""COMPUTED_VALUE"""),9.0)</f>
        <v>9</v>
      </c>
      <c r="C365" s="119">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20">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20">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20">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20">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20">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20">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20">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20">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20">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20">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20">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20">
        <f>IFERROR(__xludf.DUMMYFUNCTION("""COMPUTED_VALUE"""),9.0)</f>
        <v>9</v>
      </c>
      <c r="C377" s="119">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20">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20">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20">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20">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20">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20">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20">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20">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20">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20">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20">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20">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20">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20">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20">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20">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20">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20">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20">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20">
        <f>IFERROR(__xludf.DUMMYFUNCTION("""COMPUTED_VALUE"""),1.0)</f>
        <v>1</v>
      </c>
      <c r="C397" s="119">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20">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20">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20">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20">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20">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20">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20">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20">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20">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20">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20">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20">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20">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20">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20">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20">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20">
        <f>IFERROR(__xludf.DUMMYFUNCTION("""COMPUTED_VALUE"""),9.0)</f>
        <v>9</v>
      </c>
      <c r="C414" s="119">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20">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20">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20">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20">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20">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20">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20">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20">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20">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20">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20">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20">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20">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20">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20">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20">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20">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20">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20">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20">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20">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20">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20">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20">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20">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20">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20">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20">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20">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20">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20">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20">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20">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20">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20">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20">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20">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20">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20">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20">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20">
        <f>IFERROR(__xludf.DUMMYFUNCTION("""COMPUTED_VALUE"""),9.0)</f>
        <v>9</v>
      </c>
      <c r="C455" s="119">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20">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20">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20">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20">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20">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20">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20">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20">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20">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20">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20">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20">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20">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20">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20">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20">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20">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20">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20">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20">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20">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20">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20">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20">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20">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20">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20">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20">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20">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20">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20">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20">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20">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20">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20">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20">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20">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20">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20">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20">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20">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20">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20">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20">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20">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20">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20">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20">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20">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20">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20">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20">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20">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20">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20">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20">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20">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20">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20">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20">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20">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20">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20">
        <f>IFERROR(__xludf.DUMMYFUNCTION("""COMPUTED_VALUE"""),1.0)</f>
        <v>1</v>
      </c>
      <c r="C518" s="119">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20">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20">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20">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20">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20">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20">
        <f>IFERROR(__xludf.DUMMYFUNCTION("""COMPUTED_VALUE"""),9.0)</f>
        <v>9</v>
      </c>
      <c r="C524" s="119">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20">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20">
        <f>IFERROR(__xludf.DUMMYFUNCTION("""COMPUTED_VALUE"""),9.0)</f>
        <v>9</v>
      </c>
      <c r="C526" s="119">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20">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20">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20">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20">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20">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20">
        <f>IFERROR(__xludf.DUMMYFUNCTION("""COMPUTED_VALUE"""),9.0)</f>
        <v>9</v>
      </c>
      <c r="C532" s="119">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20">
        <f>IFERROR(__xludf.DUMMYFUNCTION("""COMPUTED_VALUE"""),9.0)</f>
        <v>9</v>
      </c>
      <c r="C533" s="119">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20">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20">
        <f>IFERROR(__xludf.DUMMYFUNCTION("""COMPUTED_VALUE"""),1.0)</f>
        <v>1</v>
      </c>
      <c r="C535" s="119">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20">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20">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20">
        <f>IFERROR(__xludf.DUMMYFUNCTION("""COMPUTED_VALUE"""),9.0)</f>
        <v>9</v>
      </c>
      <c r="C538" s="119">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20">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20">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20">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20">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20">
        <f>IFERROR(__xludf.DUMMYFUNCTION("""COMPUTED_VALUE"""),9.0)</f>
        <v>9</v>
      </c>
      <c r="C543" s="119">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20">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20">
        <f>IFERROR(__xludf.DUMMYFUNCTION("""COMPUTED_VALUE"""),1.0)</f>
        <v>1</v>
      </c>
      <c r="C545" s="119">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20">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20">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20">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20">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20">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20">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20">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20">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20">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20">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20">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20">
        <f>IFERROR(__xludf.DUMMYFUNCTION("""COMPUTED_VALUE"""),9.0)</f>
        <v>9</v>
      </c>
      <c r="C557" s="119">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20">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20">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20">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20">
        <f>IFERROR(__xludf.DUMMYFUNCTION("""COMPUTED_VALUE"""),9.0)</f>
        <v>9</v>
      </c>
      <c r="C561" s="119">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20">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20">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20">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20">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20">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20">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20">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20">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20">
        <f>IFERROR(__xludf.DUMMYFUNCTION("""COMPUTED_VALUE"""),1.0)</f>
        <v>1</v>
      </c>
      <c r="C570" s="119">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8">
        <f>IFERROR(__xludf.DUMMYFUNCTION("""COMPUTED_VALUE"""),1900000.0)</f>
        <v>1900000</v>
      </c>
      <c r="G2" s="16" t="str">
        <f>IFERROR(__xludf.DUMMYFUNCTION("""COMPUTED_VALUE"""),"DEF")</f>
        <v>DEF</v>
      </c>
      <c r="H2" s="119">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8">
        <f>IFERROR(__xludf.DUMMYFUNCTION("""COMPUTED_VALUE"""),1900000.0)</f>
        <v>1900000</v>
      </c>
      <c r="G3" s="16" t="str">
        <f>IFERROR(__xludf.DUMMYFUNCTION("""COMPUTED_VALUE"""),"DMG")</f>
        <v>DMG</v>
      </c>
      <c r="H3" s="119">
        <f>IFERROR(__xludf.DUMMYFUNCTION("""COMPUTED_VALUE"""),2500.0)</f>
        <v>2500</v>
      </c>
      <c r="I3" s="119">
        <f>IFERROR(__xludf.DUMMYFUNCTION("""COMPUTED_VALUE"""),2500.0)</f>
        <v>2500</v>
      </c>
      <c r="J3" s="16"/>
      <c r="K3" s="16"/>
      <c r="L3" s="16"/>
      <c r="M3" s="16"/>
      <c r="N3" s="16"/>
      <c r="O3" s="119">
        <f>IFERROR(__xludf.DUMMYFUNCTION("""COMPUTED_VALUE"""),2500.0)</f>
        <v>2500</v>
      </c>
      <c r="P3" s="16"/>
      <c r="Q3" s="16"/>
      <c r="R3" s="119">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8">
        <f>IFERROR(__xludf.DUMMYFUNCTION("""COMPUTED_VALUE"""),7.98E8)</f>
        <v>798000000</v>
      </c>
      <c r="G4" s="16" t="str">
        <f>IFERROR(__xludf.DUMMYFUNCTION("""COMPUTED_VALUE"""),"DMG")</f>
        <v>DMG</v>
      </c>
      <c r="H4" s="119">
        <f>IFERROR(__xludf.DUMMYFUNCTION("""COMPUTED_VALUE"""),100000.0)</f>
        <v>100000</v>
      </c>
      <c r="I4" s="16"/>
      <c r="J4" s="16"/>
      <c r="K4" s="16"/>
      <c r="L4" s="16"/>
      <c r="M4" s="16"/>
      <c r="N4" s="16"/>
      <c r="O4" s="119">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8">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8">
        <f>IFERROR(__xludf.DUMMYFUNCTION("""COMPUTED_VALUE"""),3.16E7)</f>
        <v>31600000</v>
      </c>
      <c r="G6" s="16" t="str">
        <f>IFERROR(__xludf.DUMMYFUNCTION("""COMPUTED_VALUE"""),"DMG")</f>
        <v>DMG</v>
      </c>
      <c r="H6" s="119">
        <f>IFERROR(__xludf.DUMMYFUNCTION("""COMPUTED_VALUE"""),10000.0)</f>
        <v>10000</v>
      </c>
      <c r="I6" s="119">
        <f>IFERROR(__xludf.DUMMYFUNCTION("""COMPUTED_VALUE"""),10000.0)</f>
        <v>10000</v>
      </c>
      <c r="J6" s="16"/>
      <c r="K6" s="16"/>
      <c r="L6" s="16"/>
      <c r="M6" s="16"/>
      <c r="N6" s="119">
        <f>IFERROR(__xludf.DUMMYFUNCTION("""COMPUTED_VALUE"""),10000.0)</f>
        <v>10000</v>
      </c>
      <c r="O6" s="16"/>
      <c r="P6" s="16"/>
      <c r="Q6" s="119">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8">
        <f>IFERROR(__xludf.DUMMYFUNCTION("""COMPUTED_VALUE"""),7.14E7)</f>
        <v>71400000</v>
      </c>
      <c r="G7" s="16" t="str">
        <f>IFERROR(__xludf.DUMMYFUNCTION("""COMPUTED_VALUE"""),"DMG")</f>
        <v>DMG</v>
      </c>
      <c r="H7" s="119">
        <f>IFERROR(__xludf.DUMMYFUNCTION("""COMPUTED_VALUE"""),20000.0)</f>
        <v>20000</v>
      </c>
      <c r="I7" s="16"/>
      <c r="J7" s="16"/>
      <c r="K7" s="16"/>
      <c r="L7" s="16"/>
      <c r="M7" s="119">
        <f>IFERROR(__xludf.DUMMYFUNCTION("""COMPUTED_VALUE"""),20000.0)</f>
        <v>20000</v>
      </c>
      <c r="N7" s="119">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8">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8">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8">
        <f>IFERROR(__xludf.DUMMYFUNCTION("""COMPUTED_VALUE"""),1.77E7)</f>
        <v>17700000</v>
      </c>
      <c r="G10" s="16" t="str">
        <f>IFERROR(__xludf.DUMMYFUNCTION("""COMPUTED_VALUE"""),"DEF")</f>
        <v>DEF</v>
      </c>
      <c r="H10" s="119">
        <f>IFERROR(__xludf.DUMMYFUNCTION("""COMPUTED_VALUE"""),15000.0)</f>
        <v>15000</v>
      </c>
      <c r="I10" s="16"/>
      <c r="J10" s="16"/>
      <c r="K10" s="119">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8">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8">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8">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8">
        <f>IFERROR(__xludf.DUMMYFUNCTION("""COMPUTED_VALUE"""),7.14E7)</f>
        <v>71400000</v>
      </c>
      <c r="G14" s="16" t="str">
        <f>IFERROR(__xludf.DUMMYFUNCTION("""COMPUTED_VALUE"""),"DMG")</f>
        <v>DMG</v>
      </c>
      <c r="H14" s="119">
        <f>IFERROR(__xludf.DUMMYFUNCTION("""COMPUTED_VALUE"""),30000.0)</f>
        <v>30000</v>
      </c>
      <c r="I14" s="16"/>
      <c r="J14" s="16"/>
      <c r="K14" s="119">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8">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8">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8">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8">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8">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8">
        <f>IFERROR(__xludf.DUMMYFUNCTION("""COMPUTED_VALUE"""),1900000.0)</f>
        <v>1900000</v>
      </c>
      <c r="G20" s="16" t="str">
        <f>IFERROR(__xludf.DUMMYFUNCTION("""COMPUTED_VALUE"""),"DEF")</f>
        <v>DEF</v>
      </c>
      <c r="H20" s="119">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8">
        <f>IFERROR(__xludf.DUMMYFUNCTION("""COMPUTED_VALUE"""),3.16E7)</f>
        <v>31600000</v>
      </c>
      <c r="G21" s="16"/>
      <c r="H21" s="119">
        <f>IFERROR(__xludf.DUMMYFUNCTION("""COMPUTED_VALUE"""),20000.0)</f>
        <v>20000</v>
      </c>
      <c r="I21" s="119">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8">
        <f>IFERROR(__xludf.DUMMYFUNCTION("""COMPUTED_VALUE"""),7800000.0)</f>
        <v>7800000</v>
      </c>
      <c r="G22" s="16" t="str">
        <f>IFERROR(__xludf.DUMMYFUNCTION("""COMPUTED_VALUE"""),"DEF")</f>
        <v>DEF</v>
      </c>
      <c r="H22" s="119">
        <f>IFERROR(__xludf.DUMMYFUNCTION("""COMPUTED_VALUE"""),10000.0)</f>
        <v>10000</v>
      </c>
      <c r="I22" s="16"/>
      <c r="J22" s="16"/>
      <c r="K22" s="16"/>
      <c r="L22" s="16"/>
      <c r="M22" s="16"/>
      <c r="N22" s="16"/>
      <c r="O22" s="16"/>
      <c r="P22" s="16"/>
      <c r="Q22" s="119">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8">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8">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8">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8">
        <f>IFERROR(__xludf.DUMMYFUNCTION("""COMPUTED_VALUE"""),7800000.0)</f>
        <v>7800000</v>
      </c>
      <c r="G26" s="16" t="str">
        <f>IFERROR(__xludf.DUMMYFUNCTION("""COMPUTED_VALUE"""),"DMG")</f>
        <v>DMG</v>
      </c>
      <c r="H26" s="119">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8">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8">
        <f>IFERROR(__xludf.DUMMYFUNCTION("""COMPUTED_VALUE"""),4.485E8)</f>
        <v>448500000</v>
      </c>
      <c r="G28" s="16" t="str">
        <f>IFERROR(__xludf.DUMMYFUNCTION("""COMPUTED_VALUE"""),"DMG")</f>
        <v>DMG</v>
      </c>
      <c r="H28" s="119">
        <f>IFERROR(__xludf.DUMMYFUNCTION("""COMPUTED_VALUE"""),125000.0)</f>
        <v>125000</v>
      </c>
      <c r="I28" s="16"/>
      <c r="J28" s="16"/>
      <c r="K28" s="16"/>
      <c r="L28" s="16"/>
      <c r="M28" s="16"/>
      <c r="N28" s="16"/>
      <c r="O28" s="119">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8">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8">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8">
        <f>IFERROR(__xludf.DUMMYFUNCTION("""COMPUTED_VALUE"""),7800000.0)</f>
        <v>7800000</v>
      </c>
      <c r="G31" s="16" t="str">
        <f>IFERROR(__xludf.DUMMYFUNCTION("""COMPUTED_VALUE"""),"DMG")</f>
        <v>DMG</v>
      </c>
      <c r="H31" s="119">
        <f>IFERROR(__xludf.DUMMYFUNCTION("""COMPUTED_VALUE"""),10000.0)</f>
        <v>10000</v>
      </c>
      <c r="I31" s="119">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8">
        <f>IFERROR(__xludf.DUMMYFUNCTION("""COMPUTED_VALUE"""),7800000.0)</f>
        <v>7800000</v>
      </c>
      <c r="G32" s="16" t="str">
        <f>IFERROR(__xludf.DUMMYFUNCTION("""COMPUTED_VALUE"""),"DMG")</f>
        <v>DMG</v>
      </c>
      <c r="H32" s="119">
        <f>IFERROR(__xludf.DUMMYFUNCTION("""COMPUTED_VALUE"""),10000.0)</f>
        <v>10000</v>
      </c>
      <c r="I32" s="16"/>
      <c r="J32" s="16"/>
      <c r="K32" s="16"/>
      <c r="L32" s="16"/>
      <c r="M32" s="16"/>
      <c r="N32" s="16"/>
      <c r="O32" s="16"/>
      <c r="P32" s="16"/>
      <c r="Q32" s="16"/>
      <c r="R32" s="16"/>
      <c r="S32" s="16"/>
      <c r="T32" s="16"/>
      <c r="U32" s="16"/>
      <c r="V32" s="16"/>
      <c r="W32" s="16"/>
      <c r="X32" s="16"/>
      <c r="Y32" s="119">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8">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8">
        <f>IFERROR(__xludf.DUMMYFUNCTION("""COMPUTED_VALUE"""),1.99E8)</f>
        <v>199000000</v>
      </c>
      <c r="G34" s="16"/>
      <c r="H34" s="119">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9">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8">
        <f>IFERROR(__xludf.DUMMYFUNCTION("""COMPUTED_VALUE"""),4350000.0)</f>
        <v>4350000</v>
      </c>
      <c r="G35" s="16" t="str">
        <f>IFERROR(__xludf.DUMMYFUNCTION("""COMPUTED_VALUE"""),"DMG")</f>
        <v>DMG</v>
      </c>
      <c r="H35" s="119">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8">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8">
        <f>IFERROR(__xludf.DUMMYFUNCTION("""COMPUTED_VALUE"""),9.658E8)</f>
        <v>965800000</v>
      </c>
      <c r="G37" s="16" t="str">
        <f>IFERROR(__xludf.DUMMYFUNCTION("""COMPUTED_VALUE"""),"DMG")</f>
        <v>DMG</v>
      </c>
      <c r="H37" s="119">
        <f>IFERROR(__xludf.DUMMYFUNCTION("""COMPUTED_VALUE"""),140000.0)</f>
        <v>140000</v>
      </c>
      <c r="I37" s="16"/>
      <c r="J37" s="16"/>
      <c r="K37" s="16"/>
      <c r="L37" s="16"/>
      <c r="M37" s="16"/>
      <c r="N37" s="16"/>
      <c r="O37" s="119">
        <f>IFERROR(__xludf.DUMMYFUNCTION("""COMPUTED_VALUE"""),40000.0)</f>
        <v>40000</v>
      </c>
      <c r="P37" s="16"/>
      <c r="Q37" s="16"/>
      <c r="R37" s="119">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8">
        <f>IFERROR(__xludf.DUMMYFUNCTION("""COMPUTED_VALUE"""),4.485E8)</f>
        <v>448500000</v>
      </c>
      <c r="G38" s="16" t="str">
        <f>IFERROR(__xludf.DUMMYFUNCTION("""COMPUTED_VALUE"""),"DMG")</f>
        <v>DMG</v>
      </c>
      <c r="H38" s="119">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8">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8">
        <f>IFERROR(__xludf.DUMMYFUNCTION("""COMPUTED_VALUE"""),4.485E8)</f>
        <v>448500000</v>
      </c>
      <c r="G40" s="16" t="str">
        <f>IFERROR(__xludf.DUMMYFUNCTION("""COMPUTED_VALUE"""),"DMG")</f>
        <v>DMG</v>
      </c>
      <c r="H40" s="119">
        <f>IFERROR(__xludf.DUMMYFUNCTION("""COMPUTED_VALUE"""),100000.0)</f>
        <v>100000</v>
      </c>
      <c r="I40" s="16"/>
      <c r="J40" s="16"/>
      <c r="K40" s="16"/>
      <c r="L40" s="16"/>
      <c r="M40" s="16"/>
      <c r="N40" s="16"/>
      <c r="O40" s="16"/>
      <c r="P40" s="16"/>
      <c r="Q40" s="16"/>
      <c r="R40" s="16"/>
      <c r="S40" s="16"/>
      <c r="T40" s="16"/>
      <c r="U40" s="16"/>
      <c r="V40" s="16"/>
      <c r="W40" s="16"/>
      <c r="X40" s="16"/>
      <c r="Y40" s="16"/>
      <c r="Z40" s="16"/>
      <c r="AA40" s="119">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8">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8">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8">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8">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8">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8">
        <f>IFERROR(__xludf.DUMMYFUNCTION("""COMPUTED_VALUE"""),1.272E8)</f>
        <v>127200000</v>
      </c>
      <c r="G46" s="16" t="str">
        <f>IFERROR(__xludf.DUMMYFUNCTION("""COMPUTED_VALUE"""),"DMG")</f>
        <v>DMG</v>
      </c>
      <c r="H46" s="119">
        <f>IFERROR(__xludf.DUMMYFUNCTION("""COMPUTED_VALUE"""),10000.0)</f>
        <v>10000</v>
      </c>
      <c r="I46" s="119">
        <f>IFERROR(__xludf.DUMMYFUNCTION("""COMPUTED_VALUE"""),10000.0)</f>
        <v>10000</v>
      </c>
      <c r="J46" s="16"/>
      <c r="K46" s="16"/>
      <c r="L46" s="16"/>
      <c r="M46" s="16"/>
      <c r="N46" s="16"/>
      <c r="O46" s="119">
        <f>IFERROR(__xludf.DUMMYFUNCTION("""COMPUTED_VALUE"""),10000.0)</f>
        <v>10000</v>
      </c>
      <c r="P46" s="119">
        <f>IFERROR(__xludf.DUMMYFUNCTION("""COMPUTED_VALUE"""),10000.0)</f>
        <v>10000</v>
      </c>
      <c r="Q46" s="16"/>
      <c r="R46" s="119">
        <f>IFERROR(__xludf.DUMMYFUNCTION("""COMPUTED_VALUE"""),10000.0)</f>
        <v>10000</v>
      </c>
      <c r="S46" s="16"/>
      <c r="T46" s="16"/>
      <c r="U46" s="16"/>
      <c r="V46" s="16"/>
      <c r="W46" s="16"/>
      <c r="X46" s="119">
        <f>IFERROR(__xludf.DUMMYFUNCTION("""COMPUTED_VALUE"""),10000.0)</f>
        <v>10000</v>
      </c>
      <c r="Y46" s="119">
        <f>IFERROR(__xludf.DUMMYFUNCTION("""COMPUTED_VALUE"""),10000.0)</f>
        <v>10000</v>
      </c>
      <c r="Z46" s="16"/>
      <c r="AA46" s="16"/>
      <c r="AB46" s="16"/>
      <c r="AC46" s="119">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8">
        <f>IFERROR(__xludf.DUMMYFUNCTION("""COMPUTED_VALUE"""),1900000.0)</f>
        <v>1900000</v>
      </c>
      <c r="G47" s="16" t="str">
        <f>IFERROR(__xludf.DUMMYFUNCTION("""COMPUTED_VALUE"""),"DEF")</f>
        <v>DEF</v>
      </c>
      <c r="H47" s="119">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8">
        <f>IFERROR(__xludf.DUMMYFUNCTION("""COMPUTED_VALUE"""),3.196E9)</f>
        <v>3196000000</v>
      </c>
      <c r="G48" s="16" t="str">
        <f>IFERROR(__xludf.DUMMYFUNCTION("""COMPUTED_VALUE"""),"DEF")</f>
        <v>DEF</v>
      </c>
      <c r="H48" s="119">
        <f>IFERROR(__xludf.DUMMYFUNCTION("""COMPUTED_VALUE"""),100000.0)</f>
        <v>100000</v>
      </c>
      <c r="I48" s="16"/>
      <c r="J48" s="16"/>
      <c r="K48" s="16"/>
      <c r="L48" s="16"/>
      <c r="M48" s="16"/>
      <c r="N48" s="119">
        <f>IFERROR(__xludf.DUMMYFUNCTION("""COMPUTED_VALUE"""),100000.0)</f>
        <v>100000</v>
      </c>
      <c r="O48" s="119">
        <f>IFERROR(__xludf.DUMMYFUNCTION("""COMPUTED_VALUE"""),100000.0)</f>
        <v>100000</v>
      </c>
      <c r="P48" s="16"/>
      <c r="Q48" s="16"/>
      <c r="R48" s="16"/>
      <c r="S48" s="16"/>
      <c r="T48" s="16"/>
      <c r="U48" s="16"/>
      <c r="V48" s="16"/>
      <c r="W48" s="16"/>
      <c r="X48" s="16"/>
      <c r="Y48" s="16"/>
      <c r="Z48" s="16"/>
      <c r="AA48" s="16"/>
      <c r="AB48" s="16"/>
      <c r="AC48" s="119">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8">
        <f>IFERROR(__xludf.DUMMYFUNCTION("""COMPUTED_VALUE"""),3.196E9)</f>
        <v>3196000000</v>
      </c>
      <c r="G49" s="16" t="str">
        <f>IFERROR(__xludf.DUMMYFUNCTION("""COMPUTED_VALUE"""),"DMG")</f>
        <v>DMG</v>
      </c>
      <c r="H49" s="119">
        <f>IFERROR(__xludf.DUMMYFUNCTION("""COMPUTED_VALUE"""),100000.0)</f>
        <v>100000</v>
      </c>
      <c r="I49" s="16"/>
      <c r="J49" s="16"/>
      <c r="K49" s="16"/>
      <c r="L49" s="16"/>
      <c r="M49" s="16"/>
      <c r="N49" s="119">
        <f>IFERROR(__xludf.DUMMYFUNCTION("""COMPUTED_VALUE"""),100000.0)</f>
        <v>100000</v>
      </c>
      <c r="O49" s="119">
        <f>IFERROR(__xludf.DUMMYFUNCTION("""COMPUTED_VALUE"""),100000.0)</f>
        <v>100000</v>
      </c>
      <c r="P49" s="16"/>
      <c r="Q49" s="16"/>
      <c r="R49" s="16"/>
      <c r="S49" s="16"/>
      <c r="T49" s="16"/>
      <c r="U49" s="16"/>
      <c r="V49" s="16"/>
      <c r="W49" s="16"/>
      <c r="X49" s="16"/>
      <c r="Y49" s="16"/>
      <c r="Z49" s="16"/>
      <c r="AA49" s="16"/>
      <c r="AB49" s="16"/>
      <c r="AC49" s="119">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8">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8">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8">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8">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8">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8">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8">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8">
        <f>IFERROR(__xludf.DUMMYFUNCTION("""COMPUTED_VALUE"""),7800000.0)</f>
        <v>7800000</v>
      </c>
      <c r="G57" s="16" t="str">
        <f>IFERROR(__xludf.DUMMYFUNCTION("""COMPUTED_VALUE"""),"DEF")</f>
        <v>DEF</v>
      </c>
      <c r="H57" s="119">
        <f>IFERROR(__xludf.DUMMYFUNCTION("""COMPUTED_VALUE"""),10000.0)</f>
        <v>10000</v>
      </c>
      <c r="I57" s="16"/>
      <c r="J57" s="16"/>
      <c r="K57" s="119">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8">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8">
        <f>IFERROR(__xludf.DUMMYFUNCTION("""COMPUTED_VALUE"""),1.1175E8)</f>
        <v>111750000</v>
      </c>
      <c r="G59" s="16" t="str">
        <f>IFERROR(__xludf.DUMMYFUNCTION("""COMPUTED_VALUE"""),"DMG")</f>
        <v>DMG</v>
      </c>
      <c r="H59" s="16">
        <f>IFERROR(__xludf.DUMMYFUNCTION("""COMPUTED_VALUE"""),25000.0)</f>
        <v>25000</v>
      </c>
      <c r="I59" s="16"/>
      <c r="J59" s="16"/>
      <c r="K59" s="16"/>
      <c r="L59" s="16"/>
      <c r="M59" s="119">
        <f>IFERROR(__xludf.DUMMYFUNCTION("""COMPUTED_VALUE"""),25000.0)</f>
        <v>25000</v>
      </c>
      <c r="N59" s="16"/>
      <c r="O59" s="119">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8">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8">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8">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8">
        <f>IFERROR(__xludf.DUMMYFUNCTION("""COMPUTED_VALUE"""),4350000.0)</f>
        <v>4350000</v>
      </c>
      <c r="G63" s="119" t="str">
        <f>IFERROR(__xludf.DUMMYFUNCTION("""COMPUTED_VALUE"""),"DEF")</f>
        <v>DEF</v>
      </c>
      <c r="H63" s="119">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8">
        <f>IFERROR(__xludf.DUMMYFUNCTION("""COMPUTED_VALUE"""),1900000.0)</f>
        <v>1900000</v>
      </c>
      <c r="G64" s="16" t="str">
        <f>IFERROR(__xludf.DUMMYFUNCTION("""COMPUTED_VALUE"""),"DEF")</f>
        <v>DEF</v>
      </c>
      <c r="H64" s="119">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8">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8">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8">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8">
        <f>IFERROR(__xludf.DUMMYFUNCTION("""COMPUTED_VALUE"""),7800000.0)</f>
        <v>7800000</v>
      </c>
      <c r="G68" s="16" t="str">
        <f>IFERROR(__xludf.DUMMYFUNCTION("""COMPUTED_VALUE"""),"DMG")</f>
        <v>DMG</v>
      </c>
      <c r="H68" s="119">
        <f>IFERROR(__xludf.DUMMYFUNCTION("""COMPUTED_VALUE"""),10000.0)</f>
        <v>10000</v>
      </c>
      <c r="I68" s="16"/>
      <c r="J68" s="16"/>
      <c r="K68" s="119">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8">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8">
        <f>IFERROR(__xludf.DUMMYFUNCTION("""COMPUTED_VALUE"""),7800000.0)</f>
        <v>7800000</v>
      </c>
      <c r="G70" s="16" t="str">
        <f>IFERROR(__xludf.DUMMYFUNCTION("""COMPUTED_VALUE"""),"DMG")</f>
        <v>DMG</v>
      </c>
      <c r="H70" s="119">
        <f>IFERROR(__xludf.DUMMYFUNCTION("""COMPUTED_VALUE"""),10000.0)</f>
        <v>10000</v>
      </c>
      <c r="I70" s="16"/>
      <c r="J70" s="16"/>
      <c r="K70" s="16"/>
      <c r="L70" s="16"/>
      <c r="M70" s="119">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8">
        <f>IFERROR(__xludf.DUMMYFUNCTION("""COMPUTED_VALUE"""),1900000.0)</f>
        <v>1900000</v>
      </c>
      <c r="G71" s="16" t="str">
        <f>IFERROR(__xludf.DUMMYFUNCTION("""COMPUTED_VALUE"""),"DEF")</f>
        <v>DEF</v>
      </c>
      <c r="H71" s="119">
        <f>IFERROR(__xludf.DUMMYFUNCTION("""COMPUTED_VALUE"""),5000.0)</f>
        <v>5000</v>
      </c>
      <c r="I71" s="16"/>
      <c r="J71" s="16"/>
      <c r="K71" s="16"/>
      <c r="L71" s="16"/>
      <c r="M71" s="119">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8">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8">
        <f>IFERROR(__xludf.DUMMYFUNCTION("""COMPUTED_VALUE"""),1900000.0)</f>
        <v>1900000</v>
      </c>
      <c r="G73" s="16" t="str">
        <f>IFERROR(__xludf.DUMMYFUNCTION("""COMPUTED_VALUE"""),"DMG")</f>
        <v>DMG</v>
      </c>
      <c r="H73" s="119">
        <f>IFERROR(__xludf.DUMMYFUNCTION("""COMPUTED_VALUE"""),5000.0)</f>
        <v>5000</v>
      </c>
      <c r="I73" s="16"/>
      <c r="J73" s="16"/>
      <c r="K73" s="16"/>
      <c r="L73" s="16"/>
      <c r="M73" s="119">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8">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8">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8">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8">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8">
        <f>IFERROR(__xludf.DUMMYFUNCTION("""COMPUTED_VALUE"""),1.891E7)</f>
        <v>18910000</v>
      </c>
      <c r="G78" s="16" t="str">
        <f>IFERROR(__xludf.DUMMYFUNCTION("""COMPUTED_VALUE"""),"DMG")</f>
        <v>DMG</v>
      </c>
      <c r="H78" s="119">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8">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8">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8">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8">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8">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8">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8">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8">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8">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9">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8">
        <f>IFERROR(__xludf.DUMMYFUNCTION("""COMPUTED_VALUE"""),1.77E7)</f>
        <v>17700000</v>
      </c>
      <c r="G88" s="16" t="str">
        <f>IFERROR(__xludf.DUMMYFUNCTION("""COMPUTED_VALUE"""),"DMG")</f>
        <v>DMG</v>
      </c>
      <c r="H88" s="119">
        <f>IFERROR(__xludf.DUMMYFUNCTION("""COMPUTED_VALUE"""),10000.0)</f>
        <v>10000</v>
      </c>
      <c r="I88" s="16"/>
      <c r="J88" s="16"/>
      <c r="K88" s="16"/>
      <c r="L88" s="16"/>
      <c r="M88" s="16"/>
      <c r="N88" s="16"/>
      <c r="O88" s="119">
        <f>IFERROR(__xludf.DUMMYFUNCTION("""COMPUTED_VALUE"""),10000.0)</f>
        <v>10000</v>
      </c>
      <c r="P88" s="16"/>
      <c r="Q88" s="16"/>
      <c r="R88" s="119">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8">
        <f>IFERROR(__xludf.DUMMYFUNCTION("""COMPUTED_VALUE"""),4.485E8)</f>
        <v>448500000</v>
      </c>
      <c r="G89" s="16" t="str">
        <f>IFERROR(__xludf.DUMMYFUNCTION("""COMPUTED_VALUE"""),"DMG")</f>
        <v>DMG</v>
      </c>
      <c r="H89" s="119">
        <f>IFERROR(__xludf.DUMMYFUNCTION("""COMPUTED_VALUE"""),50000.0)</f>
        <v>50000</v>
      </c>
      <c r="I89" s="119">
        <f>IFERROR(__xludf.DUMMYFUNCTION("""COMPUTED_VALUE"""),50000.0)</f>
        <v>50000</v>
      </c>
      <c r="J89" s="16"/>
      <c r="K89" s="16"/>
      <c r="L89" s="16"/>
      <c r="M89" s="16"/>
      <c r="N89" s="16"/>
      <c r="O89" s="16"/>
      <c r="P89" s="16"/>
      <c r="Q89" s="16"/>
      <c r="R89" s="119">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8">
        <f>IFERROR(__xludf.DUMMYFUNCTION("""COMPUTED_VALUE"""),3.196E9)</f>
        <v>3196000000</v>
      </c>
      <c r="G90" s="16" t="str">
        <f>IFERROR(__xludf.DUMMYFUNCTION("""COMPUTED_VALUE"""),"DMG")</f>
        <v>DMG</v>
      </c>
      <c r="H90" s="119">
        <f>IFERROR(__xludf.DUMMYFUNCTION("""COMPUTED_VALUE"""),100000.0)</f>
        <v>100000</v>
      </c>
      <c r="I90" s="119">
        <f>IFERROR(__xludf.DUMMYFUNCTION("""COMPUTED_VALUE"""),100000.0)</f>
        <v>100000</v>
      </c>
      <c r="J90" s="16"/>
      <c r="K90" s="16"/>
      <c r="L90" s="16"/>
      <c r="M90" s="16"/>
      <c r="N90" s="16"/>
      <c r="O90" s="119">
        <f>IFERROR(__xludf.DUMMYFUNCTION("""COMPUTED_VALUE"""),50000.0)</f>
        <v>50000</v>
      </c>
      <c r="P90" s="16"/>
      <c r="Q90" s="16"/>
      <c r="R90" s="119">
        <f>IFERROR(__xludf.DUMMYFUNCTION("""COMPUTED_VALUE"""),50000.0)</f>
        <v>50000</v>
      </c>
      <c r="S90" s="16"/>
      <c r="T90" s="16"/>
      <c r="U90" s="16"/>
      <c r="V90" s="16"/>
      <c r="W90" s="16"/>
      <c r="X90" s="16"/>
      <c r="Y90" s="119">
        <f>IFERROR(__xludf.DUMMYFUNCTION("""COMPUTED_VALUE"""),50000.0)</f>
        <v>50000</v>
      </c>
      <c r="Z90" s="16"/>
      <c r="AA90" s="16"/>
      <c r="AB90" s="16"/>
      <c r="AC90" s="119">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8">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9">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8">
        <f>IFERROR(__xludf.DUMMYFUNCTION("""COMPUTED_VALUE"""),1.2475E9)</f>
        <v>1247500000</v>
      </c>
      <c r="G92" s="16" t="str">
        <f>IFERROR(__xludf.DUMMYFUNCTION("""COMPUTED_VALUE"""),"DEF")</f>
        <v>DEF</v>
      </c>
      <c r="H92" s="119">
        <f>IFERROR(__xludf.DUMMYFUNCTION("""COMPUTED_VALUE"""),50000.0)</f>
        <v>50000</v>
      </c>
      <c r="I92" s="119">
        <f>IFERROR(__xludf.DUMMYFUNCTION("""COMPUTED_VALUE"""),50000.0)</f>
        <v>50000</v>
      </c>
      <c r="J92" s="16"/>
      <c r="K92" s="16"/>
      <c r="L92" s="16"/>
      <c r="M92" s="16"/>
      <c r="N92" s="16"/>
      <c r="O92" s="119">
        <f>IFERROR(__xludf.DUMMYFUNCTION("""COMPUTED_VALUE"""),50000.0)</f>
        <v>50000</v>
      </c>
      <c r="P92" s="16"/>
      <c r="Q92" s="16"/>
      <c r="R92" s="119">
        <f>IFERROR(__xludf.DUMMYFUNCTION("""COMPUTED_VALUE"""),50000.0)</f>
        <v>50000</v>
      </c>
      <c r="S92" s="16"/>
      <c r="T92" s="16"/>
      <c r="U92" s="16"/>
      <c r="V92" s="16"/>
      <c r="W92" s="16"/>
      <c r="X92" s="16"/>
      <c r="Y92" s="119">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8">
        <f>IFERROR(__xludf.DUMMYFUNCTION("""COMPUTED_VALUE"""),1900000.0)</f>
        <v>1900000</v>
      </c>
      <c r="G93" s="16" t="str">
        <f>IFERROR(__xludf.DUMMYFUNCTION("""COMPUTED_VALUE"""),"DEF")</f>
        <v>DEF</v>
      </c>
      <c r="H93" s="119">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8">
        <f>IFERROR(__xludf.DUMMYFUNCTION("""COMPUTED_VALUE"""),7.194E9)</f>
        <v>7194000000</v>
      </c>
      <c r="G94" s="16" t="str">
        <f>IFERROR(__xludf.DUMMYFUNCTION("""COMPUTED_VALUE"""),"DMG")</f>
        <v>DMG</v>
      </c>
      <c r="H94" s="119">
        <f>IFERROR(__xludf.DUMMYFUNCTION("""COMPUTED_VALUE"""),100000.0)</f>
        <v>100000</v>
      </c>
      <c r="I94" s="119">
        <f>IFERROR(__xludf.DUMMYFUNCTION("""COMPUTED_VALUE"""),100000.0)</f>
        <v>100000</v>
      </c>
      <c r="J94" s="16"/>
      <c r="K94" s="16"/>
      <c r="L94" s="16"/>
      <c r="M94" s="119">
        <f>IFERROR(__xludf.DUMMYFUNCTION("""COMPUTED_VALUE"""),100000.0)</f>
        <v>100000</v>
      </c>
      <c r="N94" s="16"/>
      <c r="O94" s="119">
        <f>IFERROR(__xludf.DUMMYFUNCTION("""COMPUTED_VALUE"""),100000.0)</f>
        <v>100000</v>
      </c>
      <c r="P94" s="16"/>
      <c r="Q94" s="16"/>
      <c r="R94" s="16"/>
      <c r="S94" s="16"/>
      <c r="T94" s="16"/>
      <c r="U94" s="16"/>
      <c r="V94" s="16"/>
      <c r="W94" s="16"/>
      <c r="X94" s="16"/>
      <c r="Y94" s="119">
        <f>IFERROR(__xludf.DUMMYFUNCTION("""COMPUTED_VALUE"""),100000.0)</f>
        <v>100000</v>
      </c>
      <c r="Z94" s="16"/>
      <c r="AA94" s="16"/>
      <c r="AB94" s="16"/>
      <c r="AC94" s="119">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8">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8">
        <f>IFERROR(__xludf.DUMMYFUNCTION("""COMPUTED_VALUE"""),7.98E8)</f>
        <v>798000000</v>
      </c>
      <c r="G96" s="16" t="str">
        <f>IFERROR(__xludf.DUMMYFUNCTION("""COMPUTED_VALUE"""),"DEF")</f>
        <v>DEF</v>
      </c>
      <c r="H96" s="119">
        <f>IFERROR(__xludf.DUMMYFUNCTION("""COMPUTED_VALUE"""),50000.0)</f>
        <v>50000</v>
      </c>
      <c r="I96" s="119">
        <f>IFERROR(__xludf.DUMMYFUNCTION("""COMPUTED_VALUE"""),50000.0)</f>
        <v>50000</v>
      </c>
      <c r="J96" s="16"/>
      <c r="K96" s="16"/>
      <c r="L96" s="16"/>
      <c r="M96" s="119">
        <f>IFERROR(__xludf.DUMMYFUNCTION("""COMPUTED_VALUE"""),50000.0)</f>
        <v>50000</v>
      </c>
      <c r="N96" s="16"/>
      <c r="O96" s="16"/>
      <c r="P96" s="119">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8">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8">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8">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8">
        <f>IFERROR(__xludf.DUMMYFUNCTION("""COMPUTED_VALUE"""),100000.0)</f>
        <v>100000</v>
      </c>
      <c r="G100" s="16" t="str">
        <f>IFERROR(__xludf.DUMMYFUNCTION("""COMPUTED_VALUE"""),"DMG")</f>
        <v>DMG</v>
      </c>
      <c r="H100" s="119">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8">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8">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8">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8">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8">
        <f>IFERROR(__xludf.DUMMYFUNCTION("""COMPUTED_VALUE"""),1900000.0)</f>
        <v>1900000</v>
      </c>
      <c r="G105" s="16" t="str">
        <f>IFERROR(__xludf.DUMMYFUNCTION("""COMPUTED_VALUE"""),"DEF")</f>
        <v>DEF</v>
      </c>
      <c r="H105" s="16"/>
      <c r="I105" s="119">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8">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8">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8">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8">
        <f>IFERROR(__xludf.DUMMYFUNCTION("""COMPUTED_VALUE"""),7800000.0)</f>
        <v>7800000</v>
      </c>
      <c r="G109" s="16" t="str">
        <f>IFERROR(__xludf.DUMMYFUNCTION("""COMPUTED_VALUE"""),"DEF")</f>
        <v>DEF</v>
      </c>
      <c r="H109" s="16">
        <f>IFERROR(__xludf.DUMMYFUNCTION("""COMPUTED_VALUE"""),5000.0)</f>
        <v>5000</v>
      </c>
      <c r="I109" s="119">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8">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8">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8">
        <f>IFERROR(__xludf.DUMMYFUNCTION("""COMPUTED_VALUE"""),780000.0)</f>
        <v>780000</v>
      </c>
      <c r="G112" s="16" t="str">
        <f>IFERROR(__xludf.DUMMYFUNCTION("""COMPUTED_VALUE"""),"DEF")</f>
        <v>DEF</v>
      </c>
      <c r="H112" s="16">
        <f>IFERROR(__xludf.DUMMYFUNCTION("""COMPUTED_VALUE"""),5000.0)</f>
        <v>5000</v>
      </c>
      <c r="I112" s="119">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8">
        <f>IFERROR(__xludf.DUMMYFUNCTION("""COMPUTED_VALUE"""),2.415E7)</f>
        <v>24150000</v>
      </c>
      <c r="G113" s="16" t="str">
        <f>IFERROR(__xludf.DUMMYFUNCTION("""COMPUTED_VALUE"""),"DMG")</f>
        <v>DMG</v>
      </c>
      <c r="H113" s="16"/>
      <c r="I113" s="119">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8">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8">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8">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8">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8">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8">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8">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8">
        <f>IFERROR(__xludf.DUMMYFUNCTION("""COMPUTED_VALUE"""),7800000.0)</f>
        <v>7800000</v>
      </c>
      <c r="G121" s="16" t="str">
        <f>IFERROR(__xludf.DUMMYFUNCTION("""COMPUTED_VALUE"""),"DMG")</f>
        <v>DMG</v>
      </c>
      <c r="H121" s="119">
        <f>IFERROR(__xludf.DUMMYFUNCTION("""COMPUTED_VALUE"""),10000.0)</f>
        <v>10000</v>
      </c>
      <c r="I121" s="16"/>
      <c r="J121" s="16"/>
      <c r="K121" s="119">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8">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8">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8">
        <f>IFERROR(__xludf.DUMMYFUNCTION("""COMPUTED_VALUE"""),4.485E8)</f>
        <v>448500000</v>
      </c>
      <c r="G124" s="16" t="str">
        <f>IFERROR(__xludf.DUMMYFUNCTION("""COMPUTED_VALUE"""),"DMG")</f>
        <v>DMG</v>
      </c>
      <c r="H124" s="119">
        <f>IFERROR(__xludf.DUMMYFUNCTION("""COMPUTED_VALUE"""),100000.0)</f>
        <v>100000</v>
      </c>
      <c r="I124" s="16"/>
      <c r="J124" s="16"/>
      <c r="K124" s="16"/>
      <c r="L124" s="16"/>
      <c r="M124" s="119">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8">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8">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8">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8">
        <f>IFERROR(__xludf.DUMMYFUNCTION("""COMPUTED_VALUE"""),4.95E7)</f>
        <v>49500000</v>
      </c>
      <c r="G128" s="16" t="str">
        <f>IFERROR(__xludf.DUMMYFUNCTION("""COMPUTED_VALUE"""),"DEF")</f>
        <v>DEF</v>
      </c>
      <c r="H128" s="119">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8">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8">
        <f>IFERROR(__xludf.DUMMYFUNCTION("""COMPUTED_VALUE"""),1.797E9)</f>
        <v>1797000000</v>
      </c>
      <c r="G130" s="16" t="str">
        <f>IFERROR(__xludf.DUMMYFUNCTION("""COMPUTED_VALUE"""),"DMG")</f>
        <v>DMG</v>
      </c>
      <c r="H130" s="119">
        <f>IFERROR(__xludf.DUMMYFUNCTION("""COMPUTED_VALUE"""),50000.0)</f>
        <v>50000</v>
      </c>
      <c r="I130" s="119">
        <f>IFERROR(__xludf.DUMMYFUNCTION("""COMPUTED_VALUE"""),100000.0)</f>
        <v>100000</v>
      </c>
      <c r="J130" s="16"/>
      <c r="K130" s="16"/>
      <c r="L130" s="16"/>
      <c r="M130" s="16"/>
      <c r="N130" s="16"/>
      <c r="O130" s="119">
        <f>IFERROR(__xludf.DUMMYFUNCTION("""COMPUTED_VALUE"""),50000.0)</f>
        <v>50000</v>
      </c>
      <c r="P130" s="16"/>
      <c r="Q130" s="16"/>
      <c r="R130" s="119">
        <f>IFERROR(__xludf.DUMMYFUNCTION("""COMPUTED_VALUE"""),50000.0)</f>
        <v>50000</v>
      </c>
      <c r="S130" s="16"/>
      <c r="T130" s="16"/>
      <c r="U130" s="16"/>
      <c r="V130" s="16"/>
      <c r="W130" s="16"/>
      <c r="X130" s="16"/>
      <c r="Y130" s="16"/>
      <c r="Z130" s="16"/>
      <c r="AA130" s="16"/>
      <c r="AB130" s="16"/>
      <c r="AC130" s="119">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8">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8">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8">
        <f>IFERROR(__xludf.DUMMYFUNCTION("""COMPUTED_VALUE"""),7.98E8)</f>
        <v>798000000</v>
      </c>
      <c r="G133" s="16" t="str">
        <f>IFERROR(__xludf.DUMMYFUNCTION("""COMPUTED_VALUE"""),"DMG")</f>
        <v>DMG</v>
      </c>
      <c r="H133" s="119">
        <f>IFERROR(__xludf.DUMMYFUNCTION("""COMPUTED_VALUE"""),100000.0)</f>
        <v>100000</v>
      </c>
      <c r="I133" s="16"/>
      <c r="J133" s="16"/>
      <c r="K133" s="16"/>
      <c r="L133" s="16"/>
      <c r="M133" s="119">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8">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8">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8">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8">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8">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8">
        <f>IFERROR(__xludf.DUMMYFUNCTION("""COMPUTED_VALUE"""),1.77E7)</f>
        <v>17700000</v>
      </c>
      <c r="G139" s="16" t="str">
        <f>IFERROR(__xludf.DUMMYFUNCTION("""COMPUTED_VALUE"""),"DMG")</f>
        <v>DMG</v>
      </c>
      <c r="H139" s="119">
        <f>IFERROR(__xludf.DUMMYFUNCTION("""COMPUTED_VALUE"""),10000.0)</f>
        <v>10000</v>
      </c>
      <c r="I139" s="16"/>
      <c r="J139" s="16"/>
      <c r="K139" s="16"/>
      <c r="L139" s="16"/>
      <c r="M139" s="16"/>
      <c r="N139" s="16"/>
      <c r="O139" s="119">
        <f>IFERROR(__xludf.DUMMYFUNCTION("""COMPUTED_VALUE"""),10000.0)</f>
        <v>10000</v>
      </c>
      <c r="P139" s="119">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8">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8">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8">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8">
        <f>IFERROR(__xludf.DUMMYFUNCTION("""COMPUTED_VALUE"""),7800000.0)</f>
        <v>7800000</v>
      </c>
      <c r="G143" s="16" t="str">
        <f>IFERROR(__xludf.DUMMYFUNCTION("""COMPUTED_VALUE"""),"DEF")</f>
        <v>DEF</v>
      </c>
      <c r="H143" s="119">
        <f>IFERROR(__xludf.DUMMYFUNCTION("""COMPUTED_VALUE"""),10000.0)</f>
        <v>10000</v>
      </c>
      <c r="I143" s="16"/>
      <c r="J143" s="16"/>
      <c r="K143" s="16"/>
      <c r="L143" s="16"/>
      <c r="M143" s="16"/>
      <c r="N143" s="16"/>
      <c r="O143" s="119">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8">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8">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8">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8">
        <f>IFERROR(__xludf.DUMMYFUNCTION("""COMPUTED_VALUE"""),7800000.0)</f>
        <v>7800000</v>
      </c>
      <c r="G147" s="16" t="str">
        <f>IFERROR(__xludf.DUMMYFUNCTION("""COMPUTED_VALUE"""),"DMG")</f>
        <v>DMG</v>
      </c>
      <c r="H147" s="119">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8">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8">
        <f>IFERROR(__xludf.DUMMYFUNCTION("""COMPUTED_VALUE"""),1900000.0)</f>
        <v>1900000</v>
      </c>
      <c r="G149" s="16"/>
      <c r="H149" s="16"/>
      <c r="I149" s="119">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8">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8">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8">
        <f>IFERROR(__xludf.DUMMYFUNCTION("""COMPUTED_VALUE"""),150000.0)</f>
        <v>150000</v>
      </c>
      <c r="G152" s="16" t="str">
        <f>IFERROR(__xludf.DUMMYFUNCTION("""COMPUTED_VALUE"""),"DMG")</f>
        <v>DMG</v>
      </c>
      <c r="H152" s="119">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8">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8">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8">
        <f>IFERROR(__xludf.DUMMYFUNCTION("""COMPUTED_VALUE"""),4.485E8)</f>
        <v>448500000</v>
      </c>
      <c r="G155" s="16" t="str">
        <f>IFERROR(__xludf.DUMMYFUNCTION("""COMPUTED_VALUE"""),"DMG")</f>
        <v>DMG</v>
      </c>
      <c r="H155" s="119">
        <f>IFERROR(__xludf.DUMMYFUNCTION("""COMPUTED_VALUE"""),50000.0)</f>
        <v>50000</v>
      </c>
      <c r="I155" s="119">
        <f>IFERROR(__xludf.DUMMYFUNCTION("""COMPUTED_VALUE"""),50000.0)</f>
        <v>50000</v>
      </c>
      <c r="J155" s="16"/>
      <c r="K155" s="16"/>
      <c r="L155" s="119">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8">
        <f>IFERROR(__xludf.DUMMYFUNCTION("""COMPUTED_VALUE"""),7.98E8)</f>
        <v>798000000</v>
      </c>
      <c r="G156" s="16" t="str">
        <f>IFERROR(__xludf.DUMMYFUNCTION("""COMPUTED_VALUE"""),"DMG")</f>
        <v>DMG</v>
      </c>
      <c r="H156" s="119">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9">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8">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8">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8">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8">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8">
        <f>IFERROR(__xludf.DUMMYFUNCTION("""COMPUTED_VALUE"""),3.16E7)</f>
        <v>31600000</v>
      </c>
      <c r="G161" s="16" t="str">
        <f>IFERROR(__xludf.DUMMYFUNCTION("""COMPUTED_VALUE"""),"DMG")</f>
        <v>DMG</v>
      </c>
      <c r="H161" s="119">
        <f>IFERROR(__xludf.DUMMYFUNCTION("""COMPUTED_VALUE"""),20000.0)</f>
        <v>20000</v>
      </c>
      <c r="I161" s="119">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8">
        <f>IFERROR(__xludf.DUMMYFUNCTION("""COMPUTED_VALUE"""),1.77E7)</f>
        <v>17700000</v>
      </c>
      <c r="G162" s="16" t="str">
        <f>IFERROR(__xludf.DUMMYFUNCTION("""COMPUTED_VALUE"""),"DMG")</f>
        <v>DMG</v>
      </c>
      <c r="H162" s="119">
        <f>IFERROR(__xludf.DUMMYFUNCTION("""COMPUTED_VALUE"""),10000.0)</f>
        <v>10000</v>
      </c>
      <c r="I162" s="119">
        <f>IFERROR(__xludf.DUMMYFUNCTION("""COMPUTED_VALUE"""),10000.0)</f>
        <v>10000</v>
      </c>
      <c r="J162" s="16"/>
      <c r="K162" s="16"/>
      <c r="L162" s="16"/>
      <c r="M162" s="16"/>
      <c r="N162" s="16"/>
      <c r="O162" s="16"/>
      <c r="P162" s="16"/>
      <c r="Q162" s="16"/>
      <c r="R162" s="16"/>
      <c r="S162" s="16"/>
      <c r="T162" s="16"/>
      <c r="U162" s="16"/>
      <c r="V162" s="16"/>
      <c r="W162" s="16"/>
      <c r="X162" s="16"/>
      <c r="Y162" s="119">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8">
        <f>IFERROR(__xludf.DUMMYFUNCTION("""COMPUTED_VALUE"""),1.272E8)</f>
        <v>127200000</v>
      </c>
      <c r="G163" s="16" t="str">
        <f>IFERROR(__xludf.DUMMYFUNCTION("""COMPUTED_VALUE"""),"DMG")</f>
        <v>DMG</v>
      </c>
      <c r="H163" s="119">
        <f>IFERROR(__xludf.DUMMYFUNCTION("""COMPUTED_VALUE"""),20000.0)</f>
        <v>20000</v>
      </c>
      <c r="I163" s="119">
        <f>IFERROR(__xludf.DUMMYFUNCTION("""COMPUTED_VALUE"""),20000.0)</f>
        <v>20000</v>
      </c>
      <c r="J163" s="16"/>
      <c r="K163" s="119">
        <f>IFERROR(__xludf.DUMMYFUNCTION("""COMPUTED_VALUE"""),20000.0)</f>
        <v>20000</v>
      </c>
      <c r="L163" s="16"/>
      <c r="M163" s="16"/>
      <c r="N163" s="16"/>
      <c r="O163" s="16"/>
      <c r="P163" s="16"/>
      <c r="Q163" s="16"/>
      <c r="R163" s="16"/>
      <c r="S163" s="16"/>
      <c r="T163" s="16"/>
      <c r="U163" s="16"/>
      <c r="V163" s="16"/>
      <c r="W163" s="16"/>
      <c r="X163" s="16"/>
      <c r="Y163" s="16"/>
      <c r="Z163" s="16"/>
      <c r="AA163" s="16"/>
      <c r="AB163" s="16"/>
      <c r="AC163" s="119">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8">
        <f>IFERROR(__xludf.DUMMYFUNCTION("""COMPUTED_VALUE"""),4.485E8)</f>
        <v>448500000</v>
      </c>
      <c r="G164" s="16" t="str">
        <f>IFERROR(__xludf.DUMMYFUNCTION("""COMPUTED_VALUE"""),"DMG")</f>
        <v>DMG</v>
      </c>
      <c r="H164" s="119">
        <f>IFERROR(__xludf.DUMMYFUNCTION("""COMPUTED_VALUE"""),50000.0)</f>
        <v>50000</v>
      </c>
      <c r="I164" s="16"/>
      <c r="J164" s="16"/>
      <c r="K164" s="16"/>
      <c r="L164" s="16"/>
      <c r="M164" s="16"/>
      <c r="N164" s="16"/>
      <c r="O164" s="16"/>
      <c r="P164" s="16"/>
      <c r="Q164" s="16"/>
      <c r="R164" s="16"/>
      <c r="S164" s="119">
        <f>IFERROR(__xludf.DUMMYFUNCTION("""COMPUTED_VALUE"""),50000.0)</f>
        <v>50000</v>
      </c>
      <c r="T164" s="16"/>
      <c r="U164" s="16"/>
      <c r="V164" s="16"/>
      <c r="W164" s="16"/>
      <c r="X164" s="16"/>
      <c r="Y164" s="16"/>
      <c r="Z164" s="16"/>
      <c r="AA164" s="16"/>
      <c r="AB164" s="16"/>
      <c r="AC164" s="119">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8">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8">
        <f>IFERROR(__xludf.DUMMYFUNCTION("""COMPUTED_VALUE"""),1.225E7)</f>
        <v>12250000</v>
      </c>
      <c r="G166" s="16" t="str">
        <f>IFERROR(__xludf.DUMMYFUNCTION("""COMPUTED_VALUE"""),"DMG")</f>
        <v>DMG</v>
      </c>
      <c r="H166" s="119">
        <f>IFERROR(__xludf.DUMMYFUNCTION("""COMPUTED_VALUE"""),10000.0)</f>
        <v>10000</v>
      </c>
      <c r="I166" s="16"/>
      <c r="J166" s="16"/>
      <c r="K166" s="16"/>
      <c r="L166" s="119">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8">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8">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8">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8">
        <f>IFERROR(__xludf.DUMMYFUNCTION("""COMPUTED_VALUE"""),4.485E8)</f>
        <v>448500000</v>
      </c>
      <c r="G170" s="16" t="str">
        <f>IFERROR(__xludf.DUMMYFUNCTION("""COMPUTED_VALUE"""),"DMG")</f>
        <v>DMG</v>
      </c>
      <c r="H170" s="119">
        <f>IFERROR(__xludf.DUMMYFUNCTION("""COMPUTED_VALUE"""),50000.0)</f>
        <v>50000</v>
      </c>
      <c r="I170" s="119">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9">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8">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8">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8">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8">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8">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8">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8">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8">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8">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8">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8">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8">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8">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8">
        <f>IFERROR(__xludf.DUMMYFUNCTION("""COMPUTED_VALUE"""),7.98E8)</f>
        <v>798000000</v>
      </c>
      <c r="G184" s="16" t="str">
        <f>IFERROR(__xludf.DUMMYFUNCTION("""COMPUTED_VALUE"""),"DEF")</f>
        <v>DEF</v>
      </c>
      <c r="H184" s="119">
        <f>IFERROR(__xludf.DUMMYFUNCTION("""COMPUTED_VALUE"""),100000.0)</f>
        <v>100000</v>
      </c>
      <c r="I184" s="119">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8">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8">
        <f>IFERROR(__xludf.DUMMYFUNCTION("""COMPUTED_VALUE"""),5.104E8)</f>
        <v>510400000</v>
      </c>
      <c r="G186" s="16" t="str">
        <f>IFERROR(__xludf.DUMMYFUNCTION("""COMPUTED_VALUE"""),"DEF")</f>
        <v>DEF</v>
      </c>
      <c r="H186" s="119">
        <f>IFERROR(__xludf.DUMMYFUNCTION("""COMPUTED_VALUE"""),10000.0)</f>
        <v>10000</v>
      </c>
      <c r="I186" s="119">
        <f>IFERROR(__xludf.DUMMYFUNCTION("""COMPUTED_VALUE"""),10000.0)</f>
        <v>10000</v>
      </c>
      <c r="J186" s="119">
        <f>IFERROR(__xludf.DUMMYFUNCTION("""COMPUTED_VALUE"""),10000.0)</f>
        <v>10000</v>
      </c>
      <c r="K186" s="119">
        <f>IFERROR(__xludf.DUMMYFUNCTION("""COMPUTED_VALUE"""),10000.0)</f>
        <v>10000</v>
      </c>
      <c r="L186" s="119">
        <f>IFERROR(__xludf.DUMMYFUNCTION("""COMPUTED_VALUE"""),10000.0)</f>
        <v>10000</v>
      </c>
      <c r="M186" s="119">
        <f>IFERROR(__xludf.DUMMYFUNCTION("""COMPUTED_VALUE"""),10000.0)</f>
        <v>10000</v>
      </c>
      <c r="N186" s="119">
        <f>IFERROR(__xludf.DUMMYFUNCTION("""COMPUTED_VALUE"""),10000.0)</f>
        <v>10000</v>
      </c>
      <c r="O186" s="119">
        <f>IFERROR(__xludf.DUMMYFUNCTION("""COMPUTED_VALUE"""),10000.0)</f>
        <v>10000</v>
      </c>
      <c r="P186" s="119">
        <f>IFERROR(__xludf.DUMMYFUNCTION("""COMPUTED_VALUE"""),10000.0)</f>
        <v>10000</v>
      </c>
      <c r="Q186" s="119">
        <f>IFERROR(__xludf.DUMMYFUNCTION("""COMPUTED_VALUE"""),10000.0)</f>
        <v>10000</v>
      </c>
      <c r="R186" s="119">
        <f>IFERROR(__xludf.DUMMYFUNCTION("""COMPUTED_VALUE"""),10000.0)</f>
        <v>10000</v>
      </c>
      <c r="S186" s="119">
        <f>IFERROR(__xludf.DUMMYFUNCTION("""COMPUTED_VALUE"""),10000.0)</f>
        <v>10000</v>
      </c>
      <c r="T186" s="16"/>
      <c r="U186" s="16"/>
      <c r="V186" s="16"/>
      <c r="W186" s="16"/>
      <c r="X186" s="119">
        <f>IFERROR(__xludf.DUMMYFUNCTION("""COMPUTED_VALUE"""),10000.0)</f>
        <v>10000</v>
      </c>
      <c r="Y186" s="119">
        <f>IFERROR(__xludf.DUMMYFUNCTION("""COMPUTED_VALUE"""),10000.0)</f>
        <v>10000</v>
      </c>
      <c r="Z186" s="16"/>
      <c r="AA186" s="16"/>
      <c r="AB186" s="119">
        <f>IFERROR(__xludf.DUMMYFUNCTION("""COMPUTED_VALUE"""),10000.0)</f>
        <v>10000</v>
      </c>
      <c r="AC186" s="119">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8">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8">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8">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8">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8">
        <f>IFERROR(__xludf.DUMMYFUNCTION("""COMPUTED_VALUE"""),1.2475E9)</f>
        <v>1247500000</v>
      </c>
      <c r="G191" s="16" t="str">
        <f>IFERROR(__xludf.DUMMYFUNCTION("""COMPUTED_VALUE"""),"DEF")</f>
        <v>DEF</v>
      </c>
      <c r="H191" s="119">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9">
        <f>IFERROR(__xludf.DUMMYFUNCTION("""COMPUTED_VALUE"""),100000.0)</f>
        <v>100000</v>
      </c>
      <c r="AC191" s="119">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8">
        <f>IFERROR(__xludf.DUMMYFUNCTION("""COMPUTED_VALUE"""),1.99E8)</f>
        <v>199000000</v>
      </c>
      <c r="G192" s="16" t="str">
        <f>IFERROR(__xludf.DUMMYFUNCTION("""COMPUTED_VALUE"""),"DMG")</f>
        <v>DMG</v>
      </c>
      <c r="H192" s="119">
        <f>IFERROR(__xludf.DUMMYFUNCTION("""COMPUTED_VALUE"""),50000.0)</f>
        <v>50000</v>
      </c>
      <c r="I192" s="16"/>
      <c r="J192" s="16"/>
      <c r="K192" s="16"/>
      <c r="L192" s="16"/>
      <c r="M192" s="16"/>
      <c r="N192" s="16"/>
      <c r="O192" s="16"/>
      <c r="P192" s="16"/>
      <c r="Q192" s="16"/>
      <c r="R192" s="16"/>
      <c r="S192" s="119">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8">
        <f>IFERROR(__xludf.DUMMYFUNCTION("""COMPUTED_VALUE"""),7800000.0)</f>
        <v>7800000</v>
      </c>
      <c r="G193" s="16" t="str">
        <f>IFERROR(__xludf.DUMMYFUNCTION("""COMPUTED_VALUE"""),"DEF")</f>
        <v>DEF</v>
      </c>
      <c r="H193" s="119">
        <f>IFERROR(__xludf.DUMMYFUNCTION("""COMPUTED_VALUE"""),10000.0)</f>
        <v>10000</v>
      </c>
      <c r="I193" s="16"/>
      <c r="J193" s="16"/>
      <c r="K193" s="119">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8">
        <f>IFERROR(__xludf.DUMMYFUNCTION("""COMPUTED_VALUE"""),3.16E7)</f>
        <v>31600000</v>
      </c>
      <c r="G194" s="16" t="str">
        <f>IFERROR(__xludf.DUMMYFUNCTION("""COMPUTED_VALUE"""),"DEF")</f>
        <v>DEF</v>
      </c>
      <c r="H194" s="119">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8">
        <f>IFERROR(__xludf.DUMMYFUNCTION("""COMPUTED_VALUE"""),7800000.0)</f>
        <v>7800000</v>
      </c>
      <c r="G195" s="16" t="str">
        <f>IFERROR(__xludf.DUMMYFUNCTION("""COMPUTED_VALUE"""),"DEF")</f>
        <v>DEF</v>
      </c>
      <c r="H195" s="119">
        <f>IFERROR(__xludf.DUMMYFUNCTION("""COMPUTED_VALUE"""),10000.0)</f>
        <v>10000</v>
      </c>
      <c r="I195" s="16"/>
      <c r="J195" s="16"/>
      <c r="K195" s="119">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8">
        <f>IFERROR(__xludf.DUMMYFUNCTION("""COMPUTED_VALUE"""),7800000.0)</f>
        <v>7800000</v>
      </c>
      <c r="G196" s="16" t="str">
        <f>IFERROR(__xludf.DUMMYFUNCTION("""COMPUTED_VALUE"""),"DEF")</f>
        <v>DEF</v>
      </c>
      <c r="H196" s="119">
        <f>IFERROR(__xludf.DUMMYFUNCTION("""COMPUTED_VALUE"""),10000.0)</f>
        <v>10000</v>
      </c>
      <c r="I196" s="16"/>
      <c r="J196" s="16"/>
      <c r="K196" s="119">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8">
        <f>IFERROR(__xludf.DUMMYFUNCTION("""COMPUTED_VALUE"""),7800000.0)</f>
        <v>7800000</v>
      </c>
      <c r="G197" s="16" t="str">
        <f>IFERROR(__xludf.DUMMYFUNCTION("""COMPUTED_VALUE"""),"DEF")</f>
        <v>DEF</v>
      </c>
      <c r="H197" s="119">
        <f>IFERROR(__xludf.DUMMYFUNCTION("""COMPUTED_VALUE"""),10000.0)</f>
        <v>10000</v>
      </c>
      <c r="I197" s="16"/>
      <c r="J197" s="16"/>
      <c r="K197" s="119">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8">
        <f>IFERROR(__xludf.DUMMYFUNCTION("""COMPUTED_VALUE"""),10000.0)</f>
        <v>10000</v>
      </c>
      <c r="G198" s="16" t="str">
        <f>IFERROR(__xludf.DUMMYFUNCTION("""COMPUTED_VALUE"""),"DEF")</f>
        <v>DEF</v>
      </c>
      <c r="H198" s="119">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8">
        <f>IFERROR(__xludf.DUMMYFUNCTION("""COMPUTED_VALUE"""),1.99E8)</f>
        <v>199000000</v>
      </c>
      <c r="G199" s="16" t="str">
        <f>IFERROR(__xludf.DUMMYFUNCTION("""COMPUTED_VALUE"""),"DMG")</f>
        <v>DMG</v>
      </c>
      <c r="H199" s="119">
        <f>IFERROR(__xludf.DUMMYFUNCTION("""COMPUTED_VALUE"""),40000.0)</f>
        <v>40000</v>
      </c>
      <c r="I199" s="16"/>
      <c r="J199" s="16"/>
      <c r="K199" s="119">
        <f>IFERROR(__xludf.DUMMYFUNCTION("""COMPUTED_VALUE"""),40000.0)</f>
        <v>40000</v>
      </c>
      <c r="L199" s="16"/>
      <c r="M199" s="16"/>
      <c r="N199" s="16"/>
      <c r="O199" s="16"/>
      <c r="P199" s="16"/>
      <c r="Q199" s="16"/>
      <c r="R199" s="16"/>
      <c r="S199" s="16"/>
      <c r="T199" s="16"/>
      <c r="U199" s="16"/>
      <c r="V199" s="16"/>
      <c r="W199" s="16"/>
      <c r="X199" s="16"/>
      <c r="Y199" s="16"/>
      <c r="Z199" s="16"/>
      <c r="AA199" s="16"/>
      <c r="AB199" s="16"/>
      <c r="AC199" s="119">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8">
        <f>IFERROR(__xludf.DUMMYFUNCTION("""COMPUTED_VALUE"""),3.1125E8)</f>
        <v>311250000</v>
      </c>
      <c r="G200" s="16" t="str">
        <f>IFERROR(__xludf.DUMMYFUNCTION("""COMPUTED_VALUE"""),"DMG")</f>
        <v>DMG</v>
      </c>
      <c r="H200" s="119">
        <f>IFERROR(__xludf.DUMMYFUNCTION("""COMPUTED_VALUE"""),50000.0)</f>
        <v>50000</v>
      </c>
      <c r="I200" s="16"/>
      <c r="J200" s="16"/>
      <c r="K200" s="119">
        <f>IFERROR(__xludf.DUMMYFUNCTION("""COMPUTED_VALUE"""),50000.0)</f>
        <v>50000</v>
      </c>
      <c r="L200" s="16"/>
      <c r="M200" s="16"/>
      <c r="N200" s="16"/>
      <c r="O200" s="16"/>
      <c r="P200" s="16"/>
      <c r="Q200" s="16"/>
      <c r="R200" s="16"/>
      <c r="S200" s="16"/>
      <c r="T200" s="16"/>
      <c r="U200" s="16"/>
      <c r="V200" s="16"/>
      <c r="W200" s="16"/>
      <c r="X200" s="16"/>
      <c r="Y200" s="16"/>
      <c r="Z200" s="16"/>
      <c r="AA200" s="16"/>
      <c r="AB200" s="16"/>
      <c r="AC200" s="119">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8">
        <f>IFERROR(__xludf.DUMMYFUNCTION("""COMPUTED_VALUE"""),7800000.0)</f>
        <v>7800000</v>
      </c>
      <c r="G201" s="16" t="str">
        <f>IFERROR(__xludf.DUMMYFUNCTION("""COMPUTED_VALUE"""),"DEF")</f>
        <v>DEF</v>
      </c>
      <c r="H201" s="119">
        <f>IFERROR(__xludf.DUMMYFUNCTION("""COMPUTED_VALUE"""),10000.0)</f>
        <v>10000</v>
      </c>
      <c r="I201" s="16"/>
      <c r="J201" s="16"/>
      <c r="K201" s="119">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8">
        <f>IFERROR(__xludf.DUMMYFUNCTION("""COMPUTED_VALUE"""),1.77E7)</f>
        <v>17700000</v>
      </c>
      <c r="G202" s="16" t="str">
        <f>IFERROR(__xludf.DUMMYFUNCTION("""COMPUTED_VALUE"""),"DMG")</f>
        <v>DMG</v>
      </c>
      <c r="H202" s="119">
        <f>IFERROR(__xludf.DUMMYFUNCTION("""COMPUTED_VALUE"""),10000.0)</f>
        <v>10000</v>
      </c>
      <c r="I202" s="16"/>
      <c r="J202" s="16"/>
      <c r="K202" s="16"/>
      <c r="L202" s="16"/>
      <c r="M202" s="16"/>
      <c r="N202" s="16"/>
      <c r="O202" s="16"/>
      <c r="P202" s="16"/>
      <c r="Q202" s="16"/>
      <c r="R202" s="119">
        <f>IFERROR(__xludf.DUMMYFUNCTION("""COMPUTED_VALUE"""),10000.0)</f>
        <v>10000</v>
      </c>
      <c r="S202" s="119">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8">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8">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8">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8">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8">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8">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8">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8">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8">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8">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8">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8">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8">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8">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8">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8">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8">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8">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8">
        <f>IFERROR(__xludf.DUMMYFUNCTION("""COMPUTED_VALUE"""),4.485E8)</f>
        <v>448500000</v>
      </c>
      <c r="G221" s="16" t="str">
        <f>IFERROR(__xludf.DUMMYFUNCTION("""COMPUTED_VALUE"""),"DMG")</f>
        <v>DMG</v>
      </c>
      <c r="H221" s="119">
        <f>IFERROR(__xludf.DUMMYFUNCTION("""COMPUTED_VALUE"""),50000.0)</f>
        <v>50000</v>
      </c>
      <c r="I221" s="16"/>
      <c r="J221" s="16"/>
      <c r="K221" s="16"/>
      <c r="L221" s="16"/>
      <c r="M221" s="16"/>
      <c r="N221" s="119">
        <f>IFERROR(__xludf.DUMMYFUNCTION("""COMPUTED_VALUE"""),50000.0)</f>
        <v>50000</v>
      </c>
      <c r="O221" s="16"/>
      <c r="P221" s="16"/>
      <c r="Q221" s="16"/>
      <c r="R221" s="16"/>
      <c r="S221" s="16"/>
      <c r="T221" s="16"/>
      <c r="U221" s="16"/>
      <c r="V221" s="16"/>
      <c r="W221" s="16"/>
      <c r="X221" s="16"/>
      <c r="Y221" s="16"/>
      <c r="Z221" s="16"/>
      <c r="AA221" s="16"/>
      <c r="AB221" s="16"/>
      <c r="AC221" s="119">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8">
        <f>IFERROR(__xludf.DUMMYFUNCTION("""COMPUTED_VALUE"""),4.485E8)</f>
        <v>448500000</v>
      </c>
      <c r="G222" s="16" t="str">
        <f>IFERROR(__xludf.DUMMYFUNCTION("""COMPUTED_VALUE"""),"DEF")</f>
        <v>DEF</v>
      </c>
      <c r="H222" s="119">
        <f>IFERROR(__xludf.DUMMYFUNCTION("""COMPUTED_VALUE"""),50000.0)</f>
        <v>50000</v>
      </c>
      <c r="I222" s="16"/>
      <c r="J222" s="16"/>
      <c r="K222" s="16"/>
      <c r="L222" s="16"/>
      <c r="M222" s="16"/>
      <c r="N222" s="119">
        <f>IFERROR(__xludf.DUMMYFUNCTION("""COMPUTED_VALUE"""),50000.0)</f>
        <v>50000</v>
      </c>
      <c r="O222" s="16"/>
      <c r="P222" s="16"/>
      <c r="Q222" s="16"/>
      <c r="R222" s="16"/>
      <c r="S222" s="16"/>
      <c r="T222" s="16"/>
      <c r="U222" s="16"/>
      <c r="V222" s="16"/>
      <c r="W222" s="16"/>
      <c r="X222" s="16"/>
      <c r="Y222" s="16"/>
      <c r="Z222" s="16"/>
      <c r="AA222" s="16"/>
      <c r="AB222" s="16"/>
      <c r="AC222" s="119">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8">
        <f>IFERROR(__xludf.DUMMYFUNCTION("""COMPUTED_VALUE"""),4.485E8)</f>
        <v>448500000</v>
      </c>
      <c r="G223" s="16" t="str">
        <f>IFERROR(__xludf.DUMMYFUNCTION("""COMPUTED_VALUE"""),"DEF")</f>
        <v>DEF</v>
      </c>
      <c r="H223" s="119">
        <f>IFERROR(__xludf.DUMMYFUNCTION("""COMPUTED_VALUE"""),50000.0)</f>
        <v>50000</v>
      </c>
      <c r="I223" s="16"/>
      <c r="J223" s="16"/>
      <c r="K223" s="16"/>
      <c r="L223" s="16"/>
      <c r="M223" s="16"/>
      <c r="N223" s="119">
        <f>IFERROR(__xludf.DUMMYFUNCTION("""COMPUTED_VALUE"""),50000.0)</f>
        <v>50000</v>
      </c>
      <c r="O223" s="16"/>
      <c r="P223" s="16"/>
      <c r="Q223" s="16"/>
      <c r="R223" s="16"/>
      <c r="S223" s="16"/>
      <c r="T223" s="16"/>
      <c r="U223" s="16"/>
      <c r="V223" s="16"/>
      <c r="W223" s="16"/>
      <c r="X223" s="16"/>
      <c r="Y223" s="16"/>
      <c r="Z223" s="16"/>
      <c r="AA223" s="16"/>
      <c r="AB223" s="16"/>
      <c r="AC223" s="119">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8">
        <f>IFERROR(__xludf.DUMMYFUNCTION("""COMPUTED_VALUE"""),4.485E8)</f>
        <v>448500000</v>
      </c>
      <c r="G224" s="16" t="str">
        <f>IFERROR(__xludf.DUMMYFUNCTION("""COMPUTED_VALUE"""),"DEF")</f>
        <v>DEF</v>
      </c>
      <c r="H224" s="119">
        <f>IFERROR(__xludf.DUMMYFUNCTION("""COMPUTED_VALUE"""),50000.0)</f>
        <v>50000</v>
      </c>
      <c r="I224" s="16"/>
      <c r="J224" s="16"/>
      <c r="K224" s="16"/>
      <c r="L224" s="16"/>
      <c r="M224" s="16"/>
      <c r="N224" s="119">
        <f>IFERROR(__xludf.DUMMYFUNCTION("""COMPUTED_VALUE"""),50000.0)</f>
        <v>50000</v>
      </c>
      <c r="O224" s="16"/>
      <c r="P224" s="16"/>
      <c r="Q224" s="16"/>
      <c r="R224" s="16"/>
      <c r="S224" s="16"/>
      <c r="T224" s="16"/>
      <c r="U224" s="16"/>
      <c r="V224" s="16"/>
      <c r="W224" s="16"/>
      <c r="X224" s="16"/>
      <c r="Y224" s="16"/>
      <c r="Z224" s="16"/>
      <c r="AA224" s="16"/>
      <c r="AB224" s="16"/>
      <c r="AC224" s="119">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8">
        <f>IFERROR(__xludf.DUMMYFUNCTION("""COMPUTED_VALUE"""),4.485E8)</f>
        <v>448500000</v>
      </c>
      <c r="G225" s="16" t="str">
        <f>IFERROR(__xludf.DUMMYFUNCTION("""COMPUTED_VALUE"""),"DEF")</f>
        <v>DEF</v>
      </c>
      <c r="H225" s="119">
        <f>IFERROR(__xludf.DUMMYFUNCTION("""COMPUTED_VALUE"""),50000.0)</f>
        <v>50000</v>
      </c>
      <c r="I225" s="16"/>
      <c r="J225" s="16"/>
      <c r="K225" s="16"/>
      <c r="L225" s="16"/>
      <c r="M225" s="16"/>
      <c r="N225" s="119">
        <f>IFERROR(__xludf.DUMMYFUNCTION("""COMPUTED_VALUE"""),50000.0)</f>
        <v>50000</v>
      </c>
      <c r="O225" s="16"/>
      <c r="P225" s="16"/>
      <c r="Q225" s="16"/>
      <c r="R225" s="16"/>
      <c r="S225" s="16"/>
      <c r="T225" s="16"/>
      <c r="U225" s="16"/>
      <c r="V225" s="16"/>
      <c r="W225" s="16"/>
      <c r="X225" s="16"/>
      <c r="Y225" s="16"/>
      <c r="Z225" s="16"/>
      <c r="AA225" s="16"/>
      <c r="AB225" s="16"/>
      <c r="AC225" s="119">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8">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8">
        <f>IFERROR(__xludf.DUMMYFUNCTION("""COMPUTED_VALUE"""),7800000.0)</f>
        <v>7800000</v>
      </c>
      <c r="G227" s="16" t="str">
        <f>IFERROR(__xludf.DUMMYFUNCTION("""COMPUTED_VALUE"""),"DMG")</f>
        <v>DMG</v>
      </c>
      <c r="H227" s="119">
        <f>IFERROR(__xludf.DUMMYFUNCTION("""COMPUTED_VALUE"""),10000.0)</f>
        <v>10000</v>
      </c>
      <c r="I227" s="119">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8">
        <f>IFERROR(__xludf.DUMMYFUNCTION("""COMPUTED_VALUE"""),4.005E7)</f>
        <v>40050000</v>
      </c>
      <c r="G228" s="16" t="str">
        <f>IFERROR(__xludf.DUMMYFUNCTION("""COMPUTED_VALUE"""),"DMG")</f>
        <v>DMG</v>
      </c>
      <c r="H228" s="119">
        <f>IFERROR(__xludf.DUMMYFUNCTION("""COMPUTED_VALUE"""),15000.0)</f>
        <v>15000</v>
      </c>
      <c r="I228" s="16"/>
      <c r="J228" s="16"/>
      <c r="K228" s="16"/>
      <c r="L228" s="16"/>
      <c r="M228" s="16"/>
      <c r="N228" s="16"/>
      <c r="O228" s="119">
        <f>IFERROR(__xludf.DUMMYFUNCTION("""COMPUTED_VALUE"""),15000.0)</f>
        <v>15000</v>
      </c>
      <c r="P228" s="16"/>
      <c r="Q228" s="16"/>
      <c r="R228" s="119">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8">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8">
        <f>IFERROR(__xludf.DUMMYFUNCTION("""COMPUTED_VALUE"""),2.409E8)</f>
        <v>240900000</v>
      </c>
      <c r="G230" s="16" t="str">
        <f>IFERROR(__xludf.DUMMYFUNCTION("""COMPUTED_VALUE"""),"DMG")</f>
        <v>DMG</v>
      </c>
      <c r="H230" s="119">
        <f>IFERROR(__xludf.DUMMYFUNCTION("""COMPUTED_VALUE"""),60000.0)</f>
        <v>60000</v>
      </c>
      <c r="I230" s="16"/>
      <c r="J230" s="16"/>
      <c r="K230" s="16"/>
      <c r="L230" s="16"/>
      <c r="M230" s="16"/>
      <c r="N230" s="16"/>
      <c r="O230" s="16"/>
      <c r="P230" s="16"/>
      <c r="Q230" s="16"/>
      <c r="R230" s="16"/>
      <c r="S230" s="16"/>
      <c r="T230" s="16"/>
      <c r="U230" s="16"/>
      <c r="V230" s="16"/>
      <c r="W230" s="16"/>
      <c r="X230" s="16"/>
      <c r="Y230" s="119">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8">
        <f>IFERROR(__xludf.DUMMYFUNCTION("""COMPUTED_VALUE"""),5.104E8)</f>
        <v>510400000</v>
      </c>
      <c r="G231" s="16" t="str">
        <f>IFERROR(__xludf.DUMMYFUNCTION("""COMPUTED_VALUE"""),"DEF")</f>
        <v>DEF</v>
      </c>
      <c r="H231" s="119">
        <f>IFERROR(__xludf.DUMMYFUNCTION("""COMPUTED_VALUE"""),10000.0)</f>
        <v>10000</v>
      </c>
      <c r="I231" s="119">
        <f>IFERROR(__xludf.DUMMYFUNCTION("""COMPUTED_VALUE"""),10000.0)</f>
        <v>10000</v>
      </c>
      <c r="J231" s="119">
        <f>IFERROR(__xludf.DUMMYFUNCTION("""COMPUTED_VALUE"""),10000.0)</f>
        <v>10000</v>
      </c>
      <c r="K231" s="119">
        <f>IFERROR(__xludf.DUMMYFUNCTION("""COMPUTED_VALUE"""),10000.0)</f>
        <v>10000</v>
      </c>
      <c r="L231" s="119">
        <f>IFERROR(__xludf.DUMMYFUNCTION("""COMPUTED_VALUE"""),10000.0)</f>
        <v>10000</v>
      </c>
      <c r="M231" s="119">
        <f>IFERROR(__xludf.DUMMYFUNCTION("""COMPUTED_VALUE"""),10000.0)</f>
        <v>10000</v>
      </c>
      <c r="N231" s="119">
        <f>IFERROR(__xludf.DUMMYFUNCTION("""COMPUTED_VALUE"""),10000.0)</f>
        <v>10000</v>
      </c>
      <c r="O231" s="119">
        <f>IFERROR(__xludf.DUMMYFUNCTION("""COMPUTED_VALUE"""),10000.0)</f>
        <v>10000</v>
      </c>
      <c r="P231" s="119">
        <f>IFERROR(__xludf.DUMMYFUNCTION("""COMPUTED_VALUE"""),10000.0)</f>
        <v>10000</v>
      </c>
      <c r="Q231" s="119">
        <f>IFERROR(__xludf.DUMMYFUNCTION("""COMPUTED_VALUE"""),10000.0)</f>
        <v>10000</v>
      </c>
      <c r="R231" s="119">
        <f>IFERROR(__xludf.DUMMYFUNCTION("""COMPUTED_VALUE"""),10000.0)</f>
        <v>10000</v>
      </c>
      <c r="S231" s="119">
        <f>IFERROR(__xludf.DUMMYFUNCTION("""COMPUTED_VALUE"""),10000.0)</f>
        <v>10000</v>
      </c>
      <c r="T231" s="16"/>
      <c r="U231" s="16"/>
      <c r="V231" s="16"/>
      <c r="W231" s="16"/>
      <c r="X231" s="119">
        <f>IFERROR(__xludf.DUMMYFUNCTION("""COMPUTED_VALUE"""),10000.0)</f>
        <v>10000</v>
      </c>
      <c r="Y231" s="119">
        <f>IFERROR(__xludf.DUMMYFUNCTION("""COMPUTED_VALUE"""),10000.0)</f>
        <v>10000</v>
      </c>
      <c r="Z231" s="16"/>
      <c r="AA231" s="16"/>
      <c r="AB231" s="119">
        <f>IFERROR(__xludf.DUMMYFUNCTION("""COMPUTED_VALUE"""),10000.0)</f>
        <v>10000</v>
      </c>
      <c r="AC231" s="119">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8">
        <f>IFERROR(__xludf.DUMMYFUNCTION("""COMPUTED_VALUE"""),5.995E7)</f>
        <v>59950000</v>
      </c>
      <c r="G232" s="16" t="str">
        <f>IFERROR(__xludf.DUMMYFUNCTION("""COMPUTED_VALUE"""),"DMG")</f>
        <v>DMG</v>
      </c>
      <c r="H232" s="119">
        <f>IFERROR(__xludf.DUMMYFUNCTION("""COMPUTED_VALUE"""),5000.0)</f>
        <v>5000</v>
      </c>
      <c r="I232" s="119">
        <f>IFERROR(__xludf.DUMMYFUNCTION("""COMPUTED_VALUE"""),5000.0)</f>
        <v>5000</v>
      </c>
      <c r="J232" s="16"/>
      <c r="K232" s="16"/>
      <c r="L232" s="16"/>
      <c r="M232" s="16"/>
      <c r="N232" s="16"/>
      <c r="O232" s="119">
        <f>IFERROR(__xludf.DUMMYFUNCTION("""COMPUTED_VALUE"""),5000.0)</f>
        <v>5000</v>
      </c>
      <c r="P232" s="119">
        <f>IFERROR(__xludf.DUMMYFUNCTION("""COMPUTED_VALUE"""),5000.0)</f>
        <v>5000</v>
      </c>
      <c r="Q232" s="16"/>
      <c r="R232" s="119">
        <f>IFERROR(__xludf.DUMMYFUNCTION("""COMPUTED_VALUE"""),5000.0)</f>
        <v>5000</v>
      </c>
      <c r="S232" s="16"/>
      <c r="T232" s="16"/>
      <c r="U232" s="16"/>
      <c r="V232" s="119">
        <f>IFERROR(__xludf.DUMMYFUNCTION("""COMPUTED_VALUE"""),5000.0)</f>
        <v>5000</v>
      </c>
      <c r="W232" s="119">
        <f>IFERROR(__xludf.DUMMYFUNCTION("""COMPUTED_VALUE"""),5000.0)</f>
        <v>5000</v>
      </c>
      <c r="X232" s="119">
        <f>IFERROR(__xludf.DUMMYFUNCTION("""COMPUTED_VALUE"""),5000.0)</f>
        <v>5000</v>
      </c>
      <c r="Y232" s="119">
        <f>IFERROR(__xludf.DUMMYFUNCTION("""COMPUTED_VALUE"""),5000.0)</f>
        <v>5000</v>
      </c>
      <c r="Z232" s="16"/>
      <c r="AA232" s="16"/>
      <c r="AB232" s="16"/>
      <c r="AC232" s="119">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8">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8">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8">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8">
        <f>IFERROR(__xludf.DUMMYFUNCTION("""COMPUTED_VALUE"""),1900000.0)</f>
        <v>1900000</v>
      </c>
      <c r="G236" s="16" t="str">
        <f>IFERROR(__xludf.DUMMYFUNCTION("""COMPUTED_VALUE"""),"DEF")</f>
        <v>DEF</v>
      </c>
      <c r="H236" s="119">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8">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8">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8">
        <f>IFERROR(__xludf.DUMMYFUNCTION("""COMPUTED_VALUE"""),1.99E8)</f>
        <v>199000000</v>
      </c>
      <c r="G239" s="16" t="str">
        <f>IFERROR(__xludf.DUMMYFUNCTION("""COMPUTED_VALUE"""),"DEF")</f>
        <v>DEF</v>
      </c>
      <c r="H239" s="119">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8">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8">
        <f>IFERROR(__xludf.DUMMYFUNCTION("""COMPUTED_VALUE"""),1900000.0)</f>
        <v>1900000</v>
      </c>
      <c r="G241" s="16" t="str">
        <f>IFERROR(__xludf.DUMMYFUNCTION("""COMPUTED_VALUE"""),"DMG")</f>
        <v>DMG</v>
      </c>
      <c r="H241" s="119">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8">
        <f>IFERROR(__xludf.DUMMYFUNCTION("""COMPUTED_VALUE"""),1900000.0)</f>
        <v>1900000</v>
      </c>
      <c r="G242" s="16" t="str">
        <f>IFERROR(__xludf.DUMMYFUNCTION("""COMPUTED_VALUE"""),"DEF")</f>
        <v>DEF</v>
      </c>
      <c r="H242" s="119">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8">
        <f>IFERROR(__xludf.DUMMYFUNCTION("""COMPUTED_VALUE"""),1900000.0)</f>
        <v>1900000</v>
      </c>
      <c r="G243" s="16" t="str">
        <f>IFERROR(__xludf.DUMMYFUNCTION("""COMPUTED_VALUE"""),"DEF")</f>
        <v>DEF</v>
      </c>
      <c r="H243" s="119">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8">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8">
        <f>IFERROR(__xludf.DUMMYFUNCTION("""COMPUTED_VALUE"""),1900000.0)</f>
        <v>1900000</v>
      </c>
      <c r="G245" s="16" t="str">
        <f>IFERROR(__xludf.DUMMYFUNCTION("""COMPUTED_VALUE"""),"DMG")</f>
        <v>DMG</v>
      </c>
      <c r="H245" s="119">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8">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8">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8">
        <f>IFERROR(__xludf.DUMMYFUNCTION("""COMPUTED_VALUE"""),1900000.0)</f>
        <v>1900000</v>
      </c>
      <c r="G248" s="16" t="str">
        <f>IFERROR(__xludf.DUMMYFUNCTION("""COMPUTED_VALUE"""),"DMG")</f>
        <v>DMG</v>
      </c>
      <c r="H248" s="119">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8">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8">
        <f>IFERROR(__xludf.DUMMYFUNCTION("""COMPUTED_VALUE"""),4.95E7)</f>
        <v>49500000</v>
      </c>
      <c r="G250" s="16" t="str">
        <f>IFERROR(__xludf.DUMMYFUNCTION("""COMPUTED_VALUE"""),"DMG")</f>
        <v>DMG</v>
      </c>
      <c r="H250" s="119">
        <f>IFERROR(__xludf.DUMMYFUNCTION("""COMPUTED_VALUE"""),30000.0)</f>
        <v>30000</v>
      </c>
      <c r="I250" s="16"/>
      <c r="J250" s="16"/>
      <c r="K250" s="16"/>
      <c r="L250" s="16"/>
      <c r="M250" s="16"/>
      <c r="N250" s="16"/>
      <c r="O250" s="119">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8">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8">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8">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8">
        <f>IFERROR(__xludf.DUMMYFUNCTION("""COMPUTED_VALUE"""),4.485E8)</f>
        <v>448500000</v>
      </c>
      <c r="G254" s="16" t="str">
        <f>IFERROR(__xludf.DUMMYFUNCTION("""COMPUTED_VALUE"""),"DMG")</f>
        <v>DMG</v>
      </c>
      <c r="H254" s="119">
        <f>IFERROR(__xludf.DUMMYFUNCTION("""COMPUTED_VALUE"""),50000.0)</f>
        <v>50000</v>
      </c>
      <c r="I254" s="119">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9">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8">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8">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8">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8">
        <f>IFERROR(__xludf.DUMMYFUNCTION("""COMPUTED_VALUE"""),7.14E7)</f>
        <v>71400000</v>
      </c>
      <c r="G258" s="16" t="str">
        <f>IFERROR(__xludf.DUMMYFUNCTION("""COMPUTED_VALUE"""),"DMG")</f>
        <v>DMG</v>
      </c>
      <c r="H258" s="16"/>
      <c r="I258" s="119">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8">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8">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8">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8">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8">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8">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8">
        <f>IFERROR(__xludf.DUMMYFUNCTION("""COMPUTED_VALUE"""),1.1175E8)</f>
        <v>111750000</v>
      </c>
      <c r="G265" s="16" t="str">
        <f>IFERROR(__xludf.DUMMYFUNCTION("""COMPUTED_VALUE"""),"DEF")</f>
        <v>DEF</v>
      </c>
      <c r="H265" s="119">
        <f>IFERROR(__xludf.DUMMYFUNCTION("""COMPUTED_VALUE"""),25000.0)</f>
        <v>25000</v>
      </c>
      <c r="I265" s="16"/>
      <c r="J265" s="16"/>
      <c r="K265" s="16"/>
      <c r="L265" s="16"/>
      <c r="M265" s="16"/>
      <c r="N265" s="119">
        <f>IFERROR(__xludf.DUMMYFUNCTION("""COMPUTED_VALUE"""),25000.0)</f>
        <v>25000</v>
      </c>
      <c r="O265" s="16"/>
      <c r="P265" s="16"/>
      <c r="Q265" s="16"/>
      <c r="R265" s="16"/>
      <c r="S265" s="16"/>
      <c r="T265" s="16"/>
      <c r="U265" s="16"/>
      <c r="V265" s="16"/>
      <c r="W265" s="16"/>
      <c r="X265" s="16"/>
      <c r="Y265" s="16"/>
      <c r="Z265" s="16"/>
      <c r="AA265" s="16"/>
      <c r="AB265" s="16"/>
      <c r="AC265" s="119">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8">
        <f>IFERROR(__xludf.DUMMYFUNCTION("""COMPUTED_VALUE"""),1.1175E8)</f>
        <v>111750000</v>
      </c>
      <c r="G266" s="16" t="str">
        <f>IFERROR(__xludf.DUMMYFUNCTION("""COMPUTED_VALUE"""),"DEF")</f>
        <v>DEF</v>
      </c>
      <c r="H266" s="119">
        <f>IFERROR(__xludf.DUMMYFUNCTION("""COMPUTED_VALUE"""),25000.0)</f>
        <v>25000</v>
      </c>
      <c r="I266" s="16"/>
      <c r="J266" s="16"/>
      <c r="K266" s="16"/>
      <c r="L266" s="16"/>
      <c r="M266" s="16"/>
      <c r="N266" s="119">
        <f>IFERROR(__xludf.DUMMYFUNCTION("""COMPUTED_VALUE"""),25000.0)</f>
        <v>25000</v>
      </c>
      <c r="O266" s="16"/>
      <c r="P266" s="16"/>
      <c r="Q266" s="16"/>
      <c r="R266" s="16"/>
      <c r="S266" s="16"/>
      <c r="T266" s="16"/>
      <c r="U266" s="16"/>
      <c r="V266" s="16"/>
      <c r="W266" s="16"/>
      <c r="X266" s="16"/>
      <c r="Y266" s="16"/>
      <c r="Z266" s="16"/>
      <c r="AA266" s="16"/>
      <c r="AB266" s="16"/>
      <c r="AC266" s="119">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8">
        <f>IFERROR(__xludf.DUMMYFUNCTION("""COMPUTED_VALUE"""),1.1175E8)</f>
        <v>111750000</v>
      </c>
      <c r="G267" s="16" t="str">
        <f>IFERROR(__xludf.DUMMYFUNCTION("""COMPUTED_VALUE"""),"DMG")</f>
        <v>DMG</v>
      </c>
      <c r="H267" s="119">
        <f>IFERROR(__xludf.DUMMYFUNCTION("""COMPUTED_VALUE"""),25000.0)</f>
        <v>25000</v>
      </c>
      <c r="I267" s="16"/>
      <c r="J267" s="16"/>
      <c r="K267" s="16"/>
      <c r="L267" s="16"/>
      <c r="M267" s="16"/>
      <c r="N267" s="119">
        <f>IFERROR(__xludf.DUMMYFUNCTION("""COMPUTED_VALUE"""),25000.0)</f>
        <v>25000</v>
      </c>
      <c r="O267" s="16"/>
      <c r="P267" s="16"/>
      <c r="Q267" s="16"/>
      <c r="R267" s="16"/>
      <c r="S267" s="16"/>
      <c r="T267" s="16"/>
      <c r="U267" s="16"/>
      <c r="V267" s="16"/>
      <c r="W267" s="16"/>
      <c r="X267" s="16"/>
      <c r="Y267" s="16"/>
      <c r="Z267" s="16"/>
      <c r="AA267" s="16"/>
      <c r="AB267" s="16"/>
      <c r="AC267" s="119">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8">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8">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8">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8">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8">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8">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8">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8">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8">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8">
        <f>IFERROR(__xludf.DUMMYFUNCTION("""COMPUTED_VALUE"""),7800000.0)</f>
        <v>7800000</v>
      </c>
      <c r="G277" s="16" t="str">
        <f>IFERROR(__xludf.DUMMYFUNCTION("""COMPUTED_VALUE"""),"DMG")</f>
        <v>DMG</v>
      </c>
      <c r="H277" s="119">
        <f>IFERROR(__xludf.DUMMYFUNCTION("""COMPUTED_VALUE"""),10000.0)</f>
        <v>10000</v>
      </c>
      <c r="I277" s="16"/>
      <c r="J277" s="16"/>
      <c r="K277" s="16"/>
      <c r="L277" s="16"/>
      <c r="M277" s="16"/>
      <c r="N277" s="16"/>
      <c r="O277" s="16"/>
      <c r="P277" s="16"/>
      <c r="Q277" s="16"/>
      <c r="R277" s="16"/>
      <c r="S277" s="119">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8">
        <f>IFERROR(__xludf.DUMMYFUNCTION("""COMPUTED_VALUE"""),1.77E7)</f>
        <v>17700000</v>
      </c>
      <c r="G278" s="16" t="str">
        <f>IFERROR(__xludf.DUMMYFUNCTION("""COMPUTED_VALUE"""),"DMG")</f>
        <v>DMG</v>
      </c>
      <c r="H278" s="119">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8">
        <f>IFERROR(__xludf.DUMMYFUNCTION("""COMPUTED_VALUE"""),1.77E7)</f>
        <v>17700000</v>
      </c>
      <c r="G279" s="16" t="str">
        <f>IFERROR(__xludf.DUMMYFUNCTION("""COMPUTED_VALUE"""),"DMG")</f>
        <v>DMG</v>
      </c>
      <c r="H279" s="119">
        <f>IFERROR(__xludf.DUMMYFUNCTION("""COMPUTED_VALUE"""),10000.0)</f>
        <v>10000</v>
      </c>
      <c r="I279" s="16"/>
      <c r="J279" s="16"/>
      <c r="K279" s="16"/>
      <c r="L279" s="16"/>
      <c r="M279" s="16"/>
      <c r="N279" s="16"/>
      <c r="O279" s="119">
        <f>IFERROR(__xludf.DUMMYFUNCTION("""COMPUTED_VALUE"""),10000.0)</f>
        <v>10000</v>
      </c>
      <c r="P279" s="16"/>
      <c r="Q279" s="16"/>
      <c r="R279" s="119">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8">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8">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8">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8">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8">
        <f>IFERROR(__xludf.DUMMYFUNCTION("""COMPUTED_VALUE"""),0.0)</f>
        <v>0</v>
      </c>
      <c r="G284" s="16" t="str">
        <f>IFERROR(__xludf.DUMMYFUNCTION("""COMPUTED_VALUE"""),"DMG")</f>
        <v>DMG</v>
      </c>
      <c r="H284" s="119">
        <f>IFERROR(__xludf.DUMMYFUNCTION("""COMPUTED_VALUE"""),0.0)</f>
        <v>0</v>
      </c>
      <c r="I284" s="16"/>
      <c r="J284" s="16"/>
      <c r="K284" s="16"/>
      <c r="L284" s="16"/>
      <c r="M284" s="16"/>
      <c r="N284" s="16"/>
      <c r="O284" s="16"/>
      <c r="P284" s="119">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8">
        <f>IFERROR(__xludf.DUMMYFUNCTION("""COMPUTED_VALUE"""),1200000.0)</f>
        <v>1200000</v>
      </c>
      <c r="G285" s="16" t="str">
        <f>IFERROR(__xludf.DUMMYFUNCTION("""COMPUTED_VALUE"""),"DMG")</f>
        <v>DMG</v>
      </c>
      <c r="H285" s="119">
        <f>IFERROR(__xludf.DUMMYFUNCTION("""COMPUTED_VALUE"""),4000.0)</f>
        <v>4000</v>
      </c>
      <c r="I285" s="16"/>
      <c r="J285" s="16"/>
      <c r="K285" s="16"/>
      <c r="L285" s="16"/>
      <c r="M285" s="16"/>
      <c r="N285" s="16"/>
      <c r="O285" s="16"/>
      <c r="P285" s="16"/>
      <c r="Q285" s="16"/>
      <c r="R285" s="16"/>
      <c r="S285" s="119">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8">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8">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8">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8">
        <f>IFERROR(__xludf.DUMMYFUNCTION("""COMPUTED_VALUE"""),1.99E8)</f>
        <v>199000000</v>
      </c>
      <c r="G289" s="16" t="str">
        <f>IFERROR(__xludf.DUMMYFUNCTION("""COMPUTED_VALUE"""),"DMG")</f>
        <v>DMG</v>
      </c>
      <c r="H289" s="119">
        <f>IFERROR(__xludf.DUMMYFUNCTION("""COMPUTED_VALUE"""),50000.0)</f>
        <v>50000</v>
      </c>
      <c r="I289" s="119">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8">
        <f>IFERROR(__xludf.DUMMYFUNCTION("""COMPUTED_VALUE"""),1.77E7)</f>
        <v>17700000</v>
      </c>
      <c r="G290" s="16" t="str">
        <f>IFERROR(__xludf.DUMMYFUNCTION("""COMPUTED_VALUE"""),"DMG")</f>
        <v>DMG</v>
      </c>
      <c r="H290" s="119">
        <f>IFERROR(__xludf.DUMMYFUNCTION("""COMPUTED_VALUE"""),20000.0)</f>
        <v>20000</v>
      </c>
      <c r="I290" s="119">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8">
        <f>IFERROR(__xludf.DUMMYFUNCTION("""COMPUTED_VALUE"""),7800000.0)</f>
        <v>7800000</v>
      </c>
      <c r="G291" s="16" t="str">
        <f>IFERROR(__xludf.DUMMYFUNCTION("""COMPUTED_VALUE"""),"DMG")</f>
        <v>DMG</v>
      </c>
      <c r="H291" s="119">
        <f>IFERROR(__xludf.DUMMYFUNCTION("""COMPUTED_VALUE"""),10000.0)</f>
        <v>10000</v>
      </c>
      <c r="I291" s="16"/>
      <c r="J291" s="16"/>
      <c r="K291" s="16"/>
      <c r="L291" s="16"/>
      <c r="M291" s="119">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8">
        <f>IFERROR(__xludf.DUMMYFUNCTION("""COMPUTED_VALUE"""),2.868E8)</f>
        <v>286800000</v>
      </c>
      <c r="G292" s="16" t="str">
        <f>IFERROR(__xludf.DUMMYFUNCTION("""COMPUTED_VALUE"""),"DMG")</f>
        <v>DMG</v>
      </c>
      <c r="H292" s="16">
        <f>IFERROR(__xludf.DUMMYFUNCTION("""COMPUTED_VALUE"""),10000.0)</f>
        <v>10000</v>
      </c>
      <c r="I292" s="16"/>
      <c r="J292" s="16"/>
      <c r="K292" s="16"/>
      <c r="L292" s="16"/>
      <c r="M292" s="119">
        <f>IFERROR(__xludf.DUMMYFUNCTION("""COMPUTED_VALUE"""),50000.0)</f>
        <v>50000</v>
      </c>
      <c r="N292" s="16"/>
      <c r="O292" s="16"/>
      <c r="P292" s="16"/>
      <c r="Q292" s="16"/>
      <c r="R292" s="16"/>
      <c r="S292" s="16"/>
      <c r="T292" s="16"/>
      <c r="U292" s="16"/>
      <c r="V292" s="16"/>
      <c r="W292" s="16"/>
      <c r="X292" s="16"/>
      <c r="Y292" s="119">
        <f>IFERROR(__xludf.DUMMYFUNCTION("""COMPUTED_VALUE"""),50000.0)</f>
        <v>50000</v>
      </c>
      <c r="Z292" s="16"/>
      <c r="AA292" s="16"/>
      <c r="AB292" s="16"/>
      <c r="AC292" s="119">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8">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8">
        <f>IFERROR(__xludf.DUMMYFUNCTION("""COMPUTED_VALUE"""),1.99E8)</f>
        <v>199000000</v>
      </c>
      <c r="G294" s="16" t="str">
        <f>IFERROR(__xludf.DUMMYFUNCTION("""COMPUTED_VALUE"""),"DMG")</f>
        <v>DMG</v>
      </c>
      <c r="H294" s="119">
        <f>IFERROR(__xludf.DUMMYFUNCTION("""COMPUTED_VALUE"""),20000.0)</f>
        <v>20000</v>
      </c>
      <c r="I294" s="119">
        <f>IFERROR(__xludf.DUMMYFUNCTION("""COMPUTED_VALUE"""),20000.0)</f>
        <v>20000</v>
      </c>
      <c r="J294" s="16"/>
      <c r="K294" s="16"/>
      <c r="L294" s="16"/>
      <c r="M294" s="16"/>
      <c r="N294" s="16"/>
      <c r="O294" s="119">
        <f>IFERROR(__xludf.DUMMYFUNCTION("""COMPUTED_VALUE"""),20000.0)</f>
        <v>20000</v>
      </c>
      <c r="P294" s="16"/>
      <c r="Q294" s="16"/>
      <c r="R294" s="119">
        <f>IFERROR(__xludf.DUMMYFUNCTION("""COMPUTED_VALUE"""),20000.0)</f>
        <v>20000</v>
      </c>
      <c r="S294" s="16"/>
      <c r="T294" s="16"/>
      <c r="U294" s="16"/>
      <c r="V294" s="16"/>
      <c r="W294" s="16"/>
      <c r="X294" s="16"/>
      <c r="Y294" s="16"/>
      <c r="Z294" s="16"/>
      <c r="AA294" s="16"/>
      <c r="AB294" s="16"/>
      <c r="AC294" s="119">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8">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8">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8">
        <f>IFERROR(__xludf.DUMMYFUNCTION("""COMPUTED_VALUE"""),7.194E9)</f>
        <v>7194000000</v>
      </c>
      <c r="G297" s="16" t="str">
        <f>IFERROR(__xludf.DUMMYFUNCTION("""COMPUTED_VALUE"""),"DMG")</f>
        <v>DMG</v>
      </c>
      <c r="H297" s="119">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9">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8">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8">
        <f>IFERROR(__xludf.DUMMYFUNCTION("""COMPUTED_VALUE"""),7800000.0)</f>
        <v>7800000</v>
      </c>
      <c r="G299" s="16" t="str">
        <f>IFERROR(__xludf.DUMMYFUNCTION("""COMPUTED_VALUE"""),"DMG")</f>
        <v>DMG</v>
      </c>
      <c r="H299" s="119">
        <f>IFERROR(__xludf.DUMMYFUNCTION("""COMPUTED_VALUE"""),10000.0)</f>
        <v>10000</v>
      </c>
      <c r="I299" s="16"/>
      <c r="J299" s="16"/>
      <c r="K299" s="119">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8">
        <f>IFERROR(__xludf.DUMMYFUNCTION("""COMPUTED_VALUE"""),3.16E7)</f>
        <v>31600000</v>
      </c>
      <c r="G300" s="16" t="str">
        <f>IFERROR(__xludf.DUMMYFUNCTION("""COMPUTED_VALUE"""),"DMG")</f>
        <v>DMG</v>
      </c>
      <c r="H300" s="119">
        <f>IFERROR(__xludf.DUMMYFUNCTION("""COMPUTED_VALUE"""),10000.0)</f>
        <v>10000</v>
      </c>
      <c r="I300" s="119">
        <f>IFERROR(__xludf.DUMMYFUNCTION("""COMPUTED_VALUE"""),10000.0)</f>
        <v>10000</v>
      </c>
      <c r="J300" s="16"/>
      <c r="K300" s="16"/>
      <c r="L300" s="16"/>
      <c r="M300" s="16"/>
      <c r="N300" s="16"/>
      <c r="O300" s="119">
        <f>IFERROR(__xludf.DUMMYFUNCTION("""COMPUTED_VALUE"""),10000.0)</f>
        <v>10000</v>
      </c>
      <c r="P300" s="119">
        <f>IFERROR(__xludf.DUMMYFUNCTION("""COMPUTED_VALUE"""),5000.0)</f>
        <v>5000</v>
      </c>
      <c r="Q300" s="16"/>
      <c r="R300" s="119">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8">
        <f>IFERROR(__xludf.DUMMYFUNCTION("""COMPUTED_VALUE"""),3.16E7)</f>
        <v>31600000</v>
      </c>
      <c r="G301" s="16" t="str">
        <f>IFERROR(__xludf.DUMMYFUNCTION("""COMPUTED_VALUE"""),"DMG")</f>
        <v>DMG</v>
      </c>
      <c r="H301" s="119">
        <f>IFERROR(__xludf.DUMMYFUNCTION("""COMPUTED_VALUE"""),20000.0)</f>
        <v>20000</v>
      </c>
      <c r="I301" s="16"/>
      <c r="J301" s="16"/>
      <c r="K301" s="119">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8">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8">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8">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8">
        <f>IFERROR(__xludf.DUMMYFUNCTION("""COMPUTED_VALUE"""),3.1125E8)</f>
        <v>311250000</v>
      </c>
      <c r="G305" s="16" t="str">
        <f>IFERROR(__xludf.DUMMYFUNCTION("""COMPUTED_VALUE"""),"DMG")</f>
        <v>DMG</v>
      </c>
      <c r="H305" s="119">
        <f>IFERROR(__xludf.DUMMYFUNCTION("""COMPUTED_VALUE"""),50000.0)</f>
        <v>50000</v>
      </c>
      <c r="I305" s="16"/>
      <c r="J305" s="16"/>
      <c r="K305" s="16"/>
      <c r="L305" s="16"/>
      <c r="M305" s="16"/>
      <c r="N305" s="16"/>
      <c r="O305" s="119">
        <f>IFERROR(__xludf.DUMMYFUNCTION("""COMPUTED_VALUE"""),50000.0)</f>
        <v>50000</v>
      </c>
      <c r="P305" s="16"/>
      <c r="Q305" s="16"/>
      <c r="R305" s="16"/>
      <c r="S305" s="16"/>
      <c r="T305" s="16"/>
      <c r="U305" s="16"/>
      <c r="V305" s="16"/>
      <c r="W305" s="16"/>
      <c r="X305" s="16"/>
      <c r="Y305" s="119">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8">
        <f>IFERROR(__xludf.DUMMYFUNCTION("""COMPUTED_VALUE"""),4.95E7)</f>
        <v>49500000</v>
      </c>
      <c r="G306" s="16" t="str">
        <f>IFERROR(__xludf.DUMMYFUNCTION("""COMPUTED_VALUE"""),"DMG")</f>
        <v>DMG</v>
      </c>
      <c r="H306" s="119">
        <f>IFERROR(__xludf.DUMMYFUNCTION("""COMPUTED_VALUE"""),10000.0)</f>
        <v>10000</v>
      </c>
      <c r="I306" s="119">
        <f>IFERROR(__xludf.DUMMYFUNCTION("""COMPUTED_VALUE"""),10000.0)</f>
        <v>10000</v>
      </c>
      <c r="J306" s="16"/>
      <c r="K306" s="16"/>
      <c r="L306" s="16"/>
      <c r="M306" s="16"/>
      <c r="N306" s="16"/>
      <c r="O306" s="16"/>
      <c r="P306" s="16"/>
      <c r="Q306" s="119">
        <f>IFERROR(__xludf.DUMMYFUNCTION("""COMPUTED_VALUE"""),10000.0)</f>
        <v>10000</v>
      </c>
      <c r="R306" s="16"/>
      <c r="S306" s="119">
        <f>IFERROR(__xludf.DUMMYFUNCTION("""COMPUTED_VALUE"""),10000.0)</f>
        <v>10000</v>
      </c>
      <c r="T306" s="16"/>
      <c r="U306" s="16"/>
      <c r="V306" s="16"/>
      <c r="W306" s="16"/>
      <c r="X306" s="16"/>
      <c r="Y306" s="119">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8">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8">
        <f>IFERROR(__xludf.DUMMYFUNCTION("""COMPUTED_VALUE"""),1.891E7)</f>
        <v>18910000</v>
      </c>
      <c r="G308" s="16" t="str">
        <f>IFERROR(__xludf.DUMMYFUNCTION("""COMPUTED_VALUE"""),"DMG")</f>
        <v>DMG</v>
      </c>
      <c r="H308" s="16">
        <f>IFERROR(__xludf.DUMMYFUNCTION("""COMPUTED_VALUE"""),1000.0)</f>
        <v>1000</v>
      </c>
      <c r="I308" s="119">
        <f>IFERROR(__xludf.DUMMYFUNCTION("""COMPUTED_VALUE"""),10000.0)</f>
        <v>10000</v>
      </c>
      <c r="J308" s="16"/>
      <c r="K308" s="16"/>
      <c r="L308" s="16"/>
      <c r="M308" s="16"/>
      <c r="N308" s="16"/>
      <c r="O308" s="119">
        <f>IFERROR(__xludf.DUMMYFUNCTION("""COMPUTED_VALUE"""),10000.0)</f>
        <v>10000</v>
      </c>
      <c r="P308" s="16"/>
      <c r="Q308" s="16"/>
      <c r="R308" s="119">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8">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8">
        <f>IFERROR(__xludf.DUMMYFUNCTION("""COMPUTED_VALUE"""),7800000.0)</f>
        <v>7800000</v>
      </c>
      <c r="G310" s="16" t="str">
        <f>IFERROR(__xludf.DUMMYFUNCTION("""COMPUTED_VALUE"""),"DMG")</f>
        <v>DMG</v>
      </c>
      <c r="H310" s="119">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8">
        <f>IFERROR(__xludf.DUMMYFUNCTION("""COMPUTED_VALUE"""),7.98E8)</f>
        <v>798000000</v>
      </c>
      <c r="G311" s="16" t="str">
        <f>IFERROR(__xludf.DUMMYFUNCTION("""COMPUTED_VALUE"""),"DMG")</f>
        <v>DMG</v>
      </c>
      <c r="H311" s="119">
        <f>IFERROR(__xludf.DUMMYFUNCTION("""COMPUTED_VALUE"""),50000.0)</f>
        <v>50000</v>
      </c>
      <c r="I311" s="119">
        <f>IFERROR(__xludf.DUMMYFUNCTION("""COMPUTED_VALUE"""),50000.0)</f>
        <v>50000</v>
      </c>
      <c r="J311" s="16"/>
      <c r="K311" s="16"/>
      <c r="L311" s="16"/>
      <c r="M311" s="16"/>
      <c r="N311" s="16"/>
      <c r="O311" s="119">
        <f>IFERROR(__xludf.DUMMYFUNCTION("""COMPUTED_VALUE"""),50000.0)</f>
        <v>50000</v>
      </c>
      <c r="P311" s="16"/>
      <c r="Q311" s="16"/>
      <c r="R311" s="16"/>
      <c r="S311" s="16"/>
      <c r="T311" s="16"/>
      <c r="U311" s="16"/>
      <c r="V311" s="16"/>
      <c r="W311" s="16"/>
      <c r="X311" s="16"/>
      <c r="Y311" s="16"/>
      <c r="Z311" s="16"/>
      <c r="AA311" s="16"/>
      <c r="AB311" s="16"/>
      <c r="AC311" s="119">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8">
        <f>IFERROR(__xludf.DUMMYFUNCTION("""COMPUTED_VALUE"""),7800000.0)</f>
        <v>7800000</v>
      </c>
      <c r="G312" s="16" t="str">
        <f>IFERROR(__xludf.DUMMYFUNCTION("""COMPUTED_VALUE"""),"DEF")</f>
        <v>DEF</v>
      </c>
      <c r="H312" s="119">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8">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8">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8">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8">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8">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8">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8">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8">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8">
        <f>IFERROR(__xludf.DUMMYFUNCTION("""COMPUTED_VALUE"""),1.77E7)</f>
        <v>17700000</v>
      </c>
      <c r="G321" s="16" t="str">
        <f>IFERROR(__xludf.DUMMYFUNCTION("""COMPUTED_VALUE"""),"DMG")</f>
        <v>DMG</v>
      </c>
      <c r="H321" s="119">
        <f>IFERROR(__xludf.DUMMYFUNCTION("""COMPUTED_VALUE"""),20000.0)</f>
        <v>20000</v>
      </c>
      <c r="I321" s="16"/>
      <c r="J321" s="16"/>
      <c r="K321" s="16"/>
      <c r="L321" s="16"/>
      <c r="M321" s="16"/>
      <c r="N321" s="16"/>
      <c r="O321" s="16"/>
      <c r="P321" s="16"/>
      <c r="Q321" s="16"/>
      <c r="R321" s="119">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8">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8">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8">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8">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8">
        <f>IFERROR(__xludf.DUMMYFUNCTION("""COMPUTED_VALUE"""),7800000.0)</f>
        <v>7800000</v>
      </c>
      <c r="G326" s="16" t="str">
        <f>IFERROR(__xludf.DUMMYFUNCTION("""COMPUTED_VALUE"""),"DMG")</f>
        <v>DMG</v>
      </c>
      <c r="H326" s="119">
        <f>IFERROR(__xludf.DUMMYFUNCTION("""COMPUTED_VALUE"""),10000.0)</f>
        <v>10000</v>
      </c>
      <c r="I326" s="16"/>
      <c r="J326" s="16"/>
      <c r="K326" s="16"/>
      <c r="L326" s="16"/>
      <c r="M326" s="16"/>
      <c r="N326" s="16"/>
      <c r="O326" s="16"/>
      <c r="P326" s="16"/>
      <c r="Q326" s="16"/>
      <c r="R326" s="16"/>
      <c r="S326" s="119">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8">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8">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8">
        <f>IFERROR(__xludf.DUMMYFUNCTION("""COMPUTED_VALUE"""),4.485E8)</f>
        <v>448500000</v>
      </c>
      <c r="G329" s="16" t="str">
        <f>IFERROR(__xludf.DUMMYFUNCTION("""COMPUTED_VALUE"""),"DMG")</f>
        <v>DMG</v>
      </c>
      <c r="H329" s="119">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9">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8">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8">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8">
        <f>IFERROR(__xludf.DUMMYFUNCTION("""COMPUTED_VALUE"""),1900000.0)</f>
        <v>1900000</v>
      </c>
      <c r="G332" s="16" t="str">
        <f>IFERROR(__xludf.DUMMYFUNCTION("""COMPUTED_VALUE"""),"DMG")</f>
        <v>DMG</v>
      </c>
      <c r="H332" s="119">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8">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8">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8">
        <f>IFERROR(__xludf.DUMMYFUNCTION("""COMPUTED_VALUE"""),1900000.0)</f>
        <v>1900000</v>
      </c>
      <c r="G335" s="16"/>
      <c r="H335" s="16"/>
      <c r="I335" s="16"/>
      <c r="J335" s="16"/>
      <c r="K335" s="16"/>
      <c r="L335" s="16"/>
      <c r="M335" s="119">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8">
        <f>IFERROR(__xludf.DUMMYFUNCTION("""COMPUTED_VALUE"""),7800000.0)</f>
        <v>7800000</v>
      </c>
      <c r="G336" s="16" t="str">
        <f>IFERROR(__xludf.DUMMYFUNCTION("""COMPUTED_VALUE"""),"DMG")</f>
        <v>DMG</v>
      </c>
      <c r="H336" s="119">
        <f>IFERROR(__xludf.DUMMYFUNCTION("""COMPUTED_VALUE"""),10000.0)</f>
        <v>10000</v>
      </c>
      <c r="I336" s="16"/>
      <c r="J336" s="16"/>
      <c r="K336" s="16"/>
      <c r="L336" s="16"/>
      <c r="M336" s="16"/>
      <c r="N336" s="16"/>
      <c r="O336" s="16"/>
      <c r="P336" s="16"/>
      <c r="Q336" s="16"/>
      <c r="R336" s="16"/>
      <c r="S336" s="16"/>
      <c r="T336" s="16"/>
      <c r="U336" s="16"/>
      <c r="V336" s="16"/>
      <c r="W336" s="119">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8">
        <f>IFERROR(__xludf.DUMMYFUNCTION("""COMPUTED_VALUE"""),4.95E7)</f>
        <v>49500000</v>
      </c>
      <c r="G337" s="16" t="str">
        <f>IFERROR(__xludf.DUMMYFUNCTION("""COMPUTED_VALUE"""),"DMG")</f>
        <v>DMG</v>
      </c>
      <c r="H337" s="119">
        <f>IFERROR(__xludf.DUMMYFUNCTION("""COMPUTED_VALUE"""),20000.0)</f>
        <v>20000</v>
      </c>
      <c r="I337" s="16"/>
      <c r="J337" s="16"/>
      <c r="K337" s="16"/>
      <c r="L337" s="16"/>
      <c r="M337" s="16"/>
      <c r="N337" s="16"/>
      <c r="O337" s="16"/>
      <c r="P337" s="16"/>
      <c r="Q337" s="16"/>
      <c r="R337" s="16"/>
      <c r="S337" s="16"/>
      <c r="T337" s="16"/>
      <c r="U337" s="16"/>
      <c r="V337" s="16"/>
      <c r="W337" s="119">
        <f>IFERROR(__xludf.DUMMYFUNCTION("""COMPUTED_VALUE"""),20000.0)</f>
        <v>20000</v>
      </c>
      <c r="X337" s="16"/>
      <c r="Y337" s="16"/>
      <c r="Z337" s="16"/>
      <c r="AA337" s="16"/>
      <c r="AB337" s="16"/>
      <c r="AC337" s="119">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8">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8">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8">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8">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8">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8">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8">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8">
        <f>IFERROR(__xludf.DUMMYFUNCTION("""COMPUTED_VALUE"""),4.995E9)</f>
        <v>4995000000</v>
      </c>
      <c r="G345" s="16" t="str">
        <f>IFERROR(__xludf.DUMMYFUNCTION("""COMPUTED_VALUE"""),"DMG")</f>
        <v>DMG</v>
      </c>
      <c r="H345" s="119">
        <f>IFERROR(__xludf.DUMMYFUNCTION("""COMPUTED_VALUE"""),100000.0)</f>
        <v>100000</v>
      </c>
      <c r="I345" s="119">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9">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8">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8">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8">
        <f>IFERROR(__xludf.DUMMYFUNCTION("""COMPUTED_VALUE"""),450000.0)</f>
        <v>450000</v>
      </c>
      <c r="G348" s="16" t="str">
        <f>IFERROR(__xludf.DUMMYFUNCTION("""COMPUTED_VALUE"""),"DEF")</f>
        <v>DEF</v>
      </c>
      <c r="H348" s="119">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8">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8">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8">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8">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8">
        <f>IFERROR(__xludf.DUMMYFUNCTION("""COMPUTED_VALUE"""),3.196E9)</f>
        <v>3196000000</v>
      </c>
      <c r="G353" s="16" t="str">
        <f>IFERROR(__xludf.DUMMYFUNCTION("""COMPUTED_VALUE"""),"DMG")</f>
        <v>DMG</v>
      </c>
      <c r="H353" s="119">
        <f>IFERROR(__xludf.DUMMYFUNCTION("""COMPUTED_VALUE"""),100000.0)</f>
        <v>100000</v>
      </c>
      <c r="I353" s="16"/>
      <c r="J353" s="16"/>
      <c r="K353" s="16"/>
      <c r="L353" s="16"/>
      <c r="M353" s="119">
        <f>IFERROR(__xludf.DUMMYFUNCTION("""COMPUTED_VALUE"""),50000.0)</f>
        <v>50000</v>
      </c>
      <c r="N353" s="119">
        <f>IFERROR(__xludf.DUMMYFUNCTION("""COMPUTED_VALUE"""),50000.0)</f>
        <v>50000</v>
      </c>
      <c r="O353" s="16"/>
      <c r="P353" s="119">
        <f>IFERROR(__xludf.DUMMYFUNCTION("""COMPUTED_VALUE"""),50000.0)</f>
        <v>50000</v>
      </c>
      <c r="Q353" s="119">
        <f>IFERROR(__xludf.DUMMYFUNCTION("""COMPUTED_VALUE"""),50000.0)</f>
        <v>50000</v>
      </c>
      <c r="R353" s="16"/>
      <c r="S353" s="119">
        <f>IFERROR(__xludf.DUMMYFUNCTION("""COMPUTED_VALUE"""),50000.0)</f>
        <v>50000</v>
      </c>
      <c r="T353" s="16"/>
      <c r="U353" s="16"/>
      <c r="V353" s="16"/>
      <c r="W353" s="16"/>
      <c r="X353" s="16"/>
      <c r="Y353" s="16"/>
      <c r="Z353" s="16"/>
      <c r="AA353" s="16"/>
      <c r="AB353" s="16"/>
      <c r="AC353" s="119">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8">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8">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8">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8">
        <f>IFERROR(__xludf.DUMMYFUNCTION("""COMPUTED_VALUE"""),1.1175E8)</f>
        <v>111750000</v>
      </c>
      <c r="G357" s="16" t="str">
        <f>IFERROR(__xludf.DUMMYFUNCTION("""COMPUTED_VALUE"""),"DEF")</f>
        <v>DEF</v>
      </c>
      <c r="H357" s="119">
        <f>IFERROR(__xludf.DUMMYFUNCTION("""COMPUTED_VALUE"""),25000.0)</f>
        <v>25000</v>
      </c>
      <c r="I357" s="16"/>
      <c r="J357" s="16"/>
      <c r="K357" s="16"/>
      <c r="L357" s="16"/>
      <c r="M357" s="16"/>
      <c r="N357" s="119">
        <f>IFERROR(__xludf.DUMMYFUNCTION("""COMPUTED_VALUE"""),25000.0)</f>
        <v>25000</v>
      </c>
      <c r="O357" s="16"/>
      <c r="P357" s="16"/>
      <c r="Q357" s="16"/>
      <c r="R357" s="16"/>
      <c r="S357" s="16"/>
      <c r="T357" s="16"/>
      <c r="U357" s="16"/>
      <c r="V357" s="16"/>
      <c r="W357" s="16"/>
      <c r="X357" s="16"/>
      <c r="Y357" s="16"/>
      <c r="Z357" s="16"/>
      <c r="AA357" s="16"/>
      <c r="AB357" s="16"/>
      <c r="AC357" s="119">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8">
        <f>IFERROR(__xludf.DUMMYFUNCTION("""COMPUTED_VALUE"""),1.1175E8)</f>
        <v>111750000</v>
      </c>
      <c r="G358" s="16" t="str">
        <f>IFERROR(__xludf.DUMMYFUNCTION("""COMPUTED_VALUE"""),"DEF")</f>
        <v>DEF</v>
      </c>
      <c r="H358" s="119">
        <f>IFERROR(__xludf.DUMMYFUNCTION("""COMPUTED_VALUE"""),25000.0)</f>
        <v>25000</v>
      </c>
      <c r="I358" s="16"/>
      <c r="J358" s="16"/>
      <c r="K358" s="16"/>
      <c r="L358" s="16"/>
      <c r="M358" s="16"/>
      <c r="N358" s="119">
        <f>IFERROR(__xludf.DUMMYFUNCTION("""COMPUTED_VALUE"""),25000.0)</f>
        <v>25000</v>
      </c>
      <c r="O358" s="16"/>
      <c r="P358" s="16"/>
      <c r="Q358" s="16"/>
      <c r="R358" s="16"/>
      <c r="S358" s="16"/>
      <c r="T358" s="16"/>
      <c r="U358" s="16"/>
      <c r="V358" s="16"/>
      <c r="W358" s="16"/>
      <c r="X358" s="16"/>
      <c r="Y358" s="16"/>
      <c r="Z358" s="16"/>
      <c r="AA358" s="16"/>
      <c r="AB358" s="16"/>
      <c r="AC358" s="119">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8">
        <f>IFERROR(__xludf.DUMMYFUNCTION("""COMPUTED_VALUE"""),4.485E8)</f>
        <v>448500000</v>
      </c>
      <c r="G359" s="16" t="str">
        <f>IFERROR(__xludf.DUMMYFUNCTION("""COMPUTED_VALUE"""),"DEF")</f>
        <v>DEF</v>
      </c>
      <c r="H359" s="119">
        <f>IFERROR(__xludf.DUMMYFUNCTION("""COMPUTED_VALUE"""),50000.0)</f>
        <v>50000</v>
      </c>
      <c r="I359" s="16"/>
      <c r="J359" s="16"/>
      <c r="K359" s="16"/>
      <c r="L359" s="16"/>
      <c r="M359" s="16"/>
      <c r="N359" s="119">
        <f>IFERROR(__xludf.DUMMYFUNCTION("""COMPUTED_VALUE"""),50000.0)</f>
        <v>50000</v>
      </c>
      <c r="O359" s="16"/>
      <c r="P359" s="16"/>
      <c r="Q359" s="16"/>
      <c r="R359" s="16"/>
      <c r="S359" s="16"/>
      <c r="T359" s="16"/>
      <c r="U359" s="16"/>
      <c r="V359" s="16"/>
      <c r="W359" s="16"/>
      <c r="X359" s="16"/>
      <c r="Y359" s="16"/>
      <c r="Z359" s="16"/>
      <c r="AA359" s="16"/>
      <c r="AB359" s="16"/>
      <c r="AC359" s="119">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8">
        <f>IFERROR(__xludf.DUMMYFUNCTION("""COMPUTED_VALUE"""),4.485E8)</f>
        <v>448500000</v>
      </c>
      <c r="G360" s="16" t="str">
        <f>IFERROR(__xludf.DUMMYFUNCTION("""COMPUTED_VALUE"""),"DEF")</f>
        <v>DEF</v>
      </c>
      <c r="H360" s="119">
        <f>IFERROR(__xludf.DUMMYFUNCTION("""COMPUTED_VALUE"""),50000.0)</f>
        <v>50000</v>
      </c>
      <c r="I360" s="16"/>
      <c r="J360" s="16"/>
      <c r="K360" s="16"/>
      <c r="L360" s="16"/>
      <c r="M360" s="16"/>
      <c r="N360" s="119">
        <f>IFERROR(__xludf.DUMMYFUNCTION("""COMPUTED_VALUE"""),50000.0)</f>
        <v>50000</v>
      </c>
      <c r="O360" s="16"/>
      <c r="P360" s="16"/>
      <c r="Q360" s="16"/>
      <c r="R360" s="16"/>
      <c r="S360" s="16"/>
      <c r="T360" s="16"/>
      <c r="U360" s="16"/>
      <c r="V360" s="16"/>
      <c r="W360" s="16"/>
      <c r="X360" s="16"/>
      <c r="Y360" s="16"/>
      <c r="Z360" s="16"/>
      <c r="AA360" s="16"/>
      <c r="AB360" s="16"/>
      <c r="AC360" s="119">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8">
        <f>IFERROR(__xludf.DUMMYFUNCTION("""COMPUTED_VALUE"""),3.196E9)</f>
        <v>3196000000</v>
      </c>
      <c r="G361" s="16" t="str">
        <f>IFERROR(__xludf.DUMMYFUNCTION("""COMPUTED_VALUE"""),"DEF")</f>
        <v>DEF</v>
      </c>
      <c r="H361" s="119">
        <f>IFERROR(__xludf.DUMMYFUNCTION("""COMPUTED_VALUE"""),100000.0)</f>
        <v>100000</v>
      </c>
      <c r="I361" s="16"/>
      <c r="J361" s="16"/>
      <c r="K361" s="16"/>
      <c r="L361" s="16"/>
      <c r="M361" s="16"/>
      <c r="N361" s="119">
        <f>IFERROR(__xludf.DUMMYFUNCTION("""COMPUTED_VALUE"""),100000.0)</f>
        <v>100000</v>
      </c>
      <c r="O361" s="119">
        <f>IFERROR(__xludf.DUMMYFUNCTION("""COMPUTED_VALUE"""),100000.0)</f>
        <v>100000</v>
      </c>
      <c r="P361" s="16"/>
      <c r="Q361" s="16"/>
      <c r="R361" s="16"/>
      <c r="S361" s="16"/>
      <c r="T361" s="16"/>
      <c r="U361" s="16"/>
      <c r="V361" s="16"/>
      <c r="W361" s="16"/>
      <c r="X361" s="16"/>
      <c r="Y361" s="16"/>
      <c r="Z361" s="16"/>
      <c r="AA361" s="16"/>
      <c r="AB361" s="16"/>
      <c r="AC361" s="119">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8">
        <f>IFERROR(__xludf.DUMMYFUNCTION("""COMPUTED_VALUE"""),3.196E9)</f>
        <v>3196000000</v>
      </c>
      <c r="G362" s="16" t="str">
        <f>IFERROR(__xludf.DUMMYFUNCTION("""COMPUTED_VALUE"""),"DEF")</f>
        <v>DEF</v>
      </c>
      <c r="H362" s="119">
        <f>IFERROR(__xludf.DUMMYFUNCTION("""COMPUTED_VALUE"""),100000.0)</f>
        <v>100000</v>
      </c>
      <c r="I362" s="16"/>
      <c r="J362" s="16"/>
      <c r="K362" s="16"/>
      <c r="L362" s="16"/>
      <c r="M362" s="16"/>
      <c r="N362" s="119">
        <f>IFERROR(__xludf.DUMMYFUNCTION("""COMPUTED_VALUE"""),100000.0)</f>
        <v>100000</v>
      </c>
      <c r="O362" s="119">
        <f>IFERROR(__xludf.DUMMYFUNCTION("""COMPUTED_VALUE"""),100000.0)</f>
        <v>100000</v>
      </c>
      <c r="P362" s="16"/>
      <c r="Q362" s="16"/>
      <c r="R362" s="16"/>
      <c r="S362" s="16"/>
      <c r="T362" s="16"/>
      <c r="U362" s="16"/>
      <c r="V362" s="16"/>
      <c r="W362" s="16"/>
      <c r="X362" s="16"/>
      <c r="Y362" s="16"/>
      <c r="Z362" s="16"/>
      <c r="AA362" s="16"/>
      <c r="AB362" s="16"/>
      <c r="AC362" s="119">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8">
        <f>IFERROR(__xludf.DUMMYFUNCTION("""COMPUTED_VALUE"""),7.98E8)</f>
        <v>798000000</v>
      </c>
      <c r="G363" s="16" t="str">
        <f>IFERROR(__xludf.DUMMYFUNCTION("""COMPUTED_VALUE"""),"DEF")</f>
        <v>DEF</v>
      </c>
      <c r="H363" s="119">
        <f>IFERROR(__xludf.DUMMYFUNCTION("""COMPUTED_VALUE"""),50000.0)</f>
        <v>50000</v>
      </c>
      <c r="I363" s="16"/>
      <c r="J363" s="16"/>
      <c r="K363" s="16"/>
      <c r="L363" s="16"/>
      <c r="M363" s="16"/>
      <c r="N363" s="119">
        <f>IFERROR(__xludf.DUMMYFUNCTION("""COMPUTED_VALUE"""),50000.0)</f>
        <v>50000</v>
      </c>
      <c r="O363" s="119">
        <f>IFERROR(__xludf.DUMMYFUNCTION("""COMPUTED_VALUE"""),50000.0)</f>
        <v>50000</v>
      </c>
      <c r="P363" s="16"/>
      <c r="Q363" s="16"/>
      <c r="R363" s="16"/>
      <c r="S363" s="16"/>
      <c r="T363" s="16"/>
      <c r="U363" s="16"/>
      <c r="V363" s="16"/>
      <c r="W363" s="16"/>
      <c r="X363" s="16"/>
      <c r="Y363" s="16"/>
      <c r="Z363" s="16"/>
      <c r="AA363" s="16"/>
      <c r="AB363" s="16"/>
      <c r="AC363" s="119">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8">
        <f>IFERROR(__xludf.DUMMYFUNCTION("""COMPUTED_VALUE"""),1.1175E8)</f>
        <v>111750000</v>
      </c>
      <c r="G364" s="16" t="str">
        <f>IFERROR(__xludf.DUMMYFUNCTION("""COMPUTED_VALUE"""),"DEF")</f>
        <v>DEF</v>
      </c>
      <c r="H364" s="119">
        <f>IFERROR(__xludf.DUMMYFUNCTION("""COMPUTED_VALUE"""),25000.0)</f>
        <v>25000</v>
      </c>
      <c r="I364" s="16"/>
      <c r="J364" s="16"/>
      <c r="K364" s="16"/>
      <c r="L364" s="16"/>
      <c r="M364" s="16"/>
      <c r="N364" s="119">
        <f>IFERROR(__xludf.DUMMYFUNCTION("""COMPUTED_VALUE"""),25000.0)</f>
        <v>25000</v>
      </c>
      <c r="O364" s="16"/>
      <c r="P364" s="16"/>
      <c r="Q364" s="16"/>
      <c r="R364" s="16"/>
      <c r="S364" s="16"/>
      <c r="T364" s="16"/>
      <c r="U364" s="16"/>
      <c r="V364" s="16"/>
      <c r="W364" s="16"/>
      <c r="X364" s="16"/>
      <c r="Y364" s="16"/>
      <c r="Z364" s="16"/>
      <c r="AA364" s="16"/>
      <c r="AB364" s="16"/>
      <c r="AC364" s="119">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8">
        <f>IFERROR(__xludf.DUMMYFUNCTION("""COMPUTED_VALUE"""),1.1175E8)</f>
        <v>111750000</v>
      </c>
      <c r="G365" s="16" t="str">
        <f>IFERROR(__xludf.DUMMYFUNCTION("""COMPUTED_VALUE"""),"DEF")</f>
        <v>DEF</v>
      </c>
      <c r="H365" s="119">
        <f>IFERROR(__xludf.DUMMYFUNCTION("""COMPUTED_VALUE"""),25000.0)</f>
        <v>25000</v>
      </c>
      <c r="I365" s="16"/>
      <c r="J365" s="16"/>
      <c r="K365" s="16"/>
      <c r="L365" s="16"/>
      <c r="M365" s="16"/>
      <c r="N365" s="119">
        <f>IFERROR(__xludf.DUMMYFUNCTION("""COMPUTED_VALUE"""),25000.0)</f>
        <v>25000</v>
      </c>
      <c r="O365" s="16"/>
      <c r="P365" s="16"/>
      <c r="Q365" s="16"/>
      <c r="R365" s="16"/>
      <c r="S365" s="16"/>
      <c r="T365" s="16"/>
      <c r="U365" s="16"/>
      <c r="V365" s="16"/>
      <c r="W365" s="16"/>
      <c r="X365" s="16"/>
      <c r="Y365" s="16"/>
      <c r="Z365" s="16"/>
      <c r="AA365" s="16"/>
      <c r="AB365" s="16"/>
      <c r="AC365" s="119">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8">
        <f>IFERROR(__xludf.DUMMYFUNCTION("""COMPUTED_VALUE"""),3.196E9)</f>
        <v>3196000000</v>
      </c>
      <c r="G366" s="16" t="str">
        <f>IFERROR(__xludf.DUMMYFUNCTION("""COMPUTED_VALUE"""),"DEF")</f>
        <v>DEF</v>
      </c>
      <c r="H366" s="119">
        <f>IFERROR(__xludf.DUMMYFUNCTION("""COMPUTED_VALUE"""),100000.0)</f>
        <v>100000</v>
      </c>
      <c r="I366" s="16"/>
      <c r="J366" s="16"/>
      <c r="K366" s="16"/>
      <c r="L366" s="16"/>
      <c r="M366" s="16"/>
      <c r="N366" s="119">
        <f>IFERROR(__xludf.DUMMYFUNCTION("""COMPUTED_VALUE"""),100000.0)</f>
        <v>100000</v>
      </c>
      <c r="O366" s="119">
        <f>IFERROR(__xludf.DUMMYFUNCTION("""COMPUTED_VALUE"""),100000.0)</f>
        <v>100000</v>
      </c>
      <c r="P366" s="16"/>
      <c r="Q366" s="16"/>
      <c r="R366" s="16"/>
      <c r="S366" s="16"/>
      <c r="T366" s="16"/>
      <c r="U366" s="16"/>
      <c r="V366" s="16"/>
      <c r="W366" s="16"/>
      <c r="X366" s="16"/>
      <c r="Y366" s="16"/>
      <c r="Z366" s="16"/>
      <c r="AA366" s="16"/>
      <c r="AB366" s="16"/>
      <c r="AC366" s="119">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8">
        <f>IFERROR(__xludf.DUMMYFUNCTION("""COMPUTED_VALUE"""),3.196E9)</f>
        <v>3196000000</v>
      </c>
      <c r="G367" s="16" t="str">
        <f>IFERROR(__xludf.DUMMYFUNCTION("""COMPUTED_VALUE"""),"DEF")</f>
        <v>DEF</v>
      </c>
      <c r="H367" s="119">
        <f>IFERROR(__xludf.DUMMYFUNCTION("""COMPUTED_VALUE"""),100000.0)</f>
        <v>100000</v>
      </c>
      <c r="I367" s="16"/>
      <c r="J367" s="16"/>
      <c r="K367" s="16"/>
      <c r="L367" s="16"/>
      <c r="M367" s="16"/>
      <c r="N367" s="119">
        <f>IFERROR(__xludf.DUMMYFUNCTION("""COMPUTED_VALUE"""),100000.0)</f>
        <v>100000</v>
      </c>
      <c r="O367" s="119">
        <f>IFERROR(__xludf.DUMMYFUNCTION("""COMPUTED_VALUE"""),100000.0)</f>
        <v>100000</v>
      </c>
      <c r="P367" s="16"/>
      <c r="Q367" s="16"/>
      <c r="R367" s="16"/>
      <c r="S367" s="16"/>
      <c r="T367" s="16"/>
      <c r="U367" s="16"/>
      <c r="V367" s="16"/>
      <c r="W367" s="16"/>
      <c r="X367" s="16"/>
      <c r="Y367" s="16"/>
      <c r="Z367" s="16"/>
      <c r="AA367" s="16"/>
      <c r="AB367" s="16"/>
      <c r="AC367" s="119">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8">
        <f>IFERROR(__xludf.DUMMYFUNCTION("""COMPUTED_VALUE"""),3.196E9)</f>
        <v>3196000000</v>
      </c>
      <c r="G368" s="16" t="str">
        <f>IFERROR(__xludf.DUMMYFUNCTION("""COMPUTED_VALUE"""),"DEF")</f>
        <v>DEF</v>
      </c>
      <c r="H368" s="119">
        <f>IFERROR(__xludf.DUMMYFUNCTION("""COMPUTED_VALUE"""),100000.0)</f>
        <v>100000</v>
      </c>
      <c r="I368" s="16"/>
      <c r="J368" s="16"/>
      <c r="K368" s="16"/>
      <c r="L368" s="16"/>
      <c r="M368" s="16"/>
      <c r="N368" s="119">
        <f>IFERROR(__xludf.DUMMYFUNCTION("""COMPUTED_VALUE"""),100000.0)</f>
        <v>100000</v>
      </c>
      <c r="O368" s="119">
        <f>IFERROR(__xludf.DUMMYFUNCTION("""COMPUTED_VALUE"""),100000.0)</f>
        <v>100000</v>
      </c>
      <c r="P368" s="16"/>
      <c r="Q368" s="16"/>
      <c r="R368" s="16"/>
      <c r="S368" s="16"/>
      <c r="T368" s="16"/>
      <c r="U368" s="16"/>
      <c r="V368" s="16"/>
      <c r="W368" s="16"/>
      <c r="X368" s="16"/>
      <c r="Y368" s="16"/>
      <c r="Z368" s="16"/>
      <c r="AA368" s="16"/>
      <c r="AB368" s="16"/>
      <c r="AC368" s="119">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8">
        <f>IFERROR(__xludf.DUMMYFUNCTION("""COMPUTED_VALUE"""),3.196E9)</f>
        <v>3196000000</v>
      </c>
      <c r="G369" s="16" t="str">
        <f>IFERROR(__xludf.DUMMYFUNCTION("""COMPUTED_VALUE"""),"DEF")</f>
        <v>DEF</v>
      </c>
      <c r="H369" s="119">
        <f>IFERROR(__xludf.DUMMYFUNCTION("""COMPUTED_VALUE"""),100000.0)</f>
        <v>100000</v>
      </c>
      <c r="I369" s="16"/>
      <c r="J369" s="16"/>
      <c r="K369" s="16"/>
      <c r="L369" s="16"/>
      <c r="M369" s="16"/>
      <c r="N369" s="119">
        <f>IFERROR(__xludf.DUMMYFUNCTION("""COMPUTED_VALUE"""),100000.0)</f>
        <v>100000</v>
      </c>
      <c r="O369" s="119">
        <f>IFERROR(__xludf.DUMMYFUNCTION("""COMPUTED_VALUE"""),100000.0)</f>
        <v>100000</v>
      </c>
      <c r="P369" s="16"/>
      <c r="Q369" s="16"/>
      <c r="R369" s="16"/>
      <c r="S369" s="16"/>
      <c r="T369" s="16"/>
      <c r="U369" s="16"/>
      <c r="V369" s="16"/>
      <c r="W369" s="16"/>
      <c r="X369" s="16"/>
      <c r="Y369" s="16"/>
      <c r="Z369" s="16"/>
      <c r="AA369" s="16"/>
      <c r="AB369" s="16"/>
      <c r="AC369" s="119">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8">
        <f>IFERROR(__xludf.DUMMYFUNCTION("""COMPUTED_VALUE"""),1.1175E8)</f>
        <v>111750000</v>
      </c>
      <c r="G370" s="16" t="str">
        <f>IFERROR(__xludf.DUMMYFUNCTION("""COMPUTED_VALUE"""),"DEF")</f>
        <v>DEF</v>
      </c>
      <c r="H370" s="119">
        <f>IFERROR(__xludf.DUMMYFUNCTION("""COMPUTED_VALUE"""),25000.0)</f>
        <v>25000</v>
      </c>
      <c r="I370" s="16"/>
      <c r="J370" s="16"/>
      <c r="K370" s="16"/>
      <c r="L370" s="16"/>
      <c r="M370" s="16"/>
      <c r="N370" s="119">
        <f>IFERROR(__xludf.DUMMYFUNCTION("""COMPUTED_VALUE"""),25000.0)</f>
        <v>25000</v>
      </c>
      <c r="O370" s="16"/>
      <c r="P370" s="16"/>
      <c r="Q370" s="16"/>
      <c r="R370" s="16"/>
      <c r="S370" s="16"/>
      <c r="T370" s="16"/>
      <c r="U370" s="16"/>
      <c r="V370" s="16"/>
      <c r="W370" s="16"/>
      <c r="X370" s="16"/>
      <c r="Y370" s="16"/>
      <c r="Z370" s="16"/>
      <c r="AA370" s="16"/>
      <c r="AB370" s="16"/>
      <c r="AC370" s="119">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8">
        <f>IFERROR(__xludf.DUMMYFUNCTION("""COMPUTED_VALUE"""),1900000.0)</f>
        <v>1900000</v>
      </c>
      <c r="G371" s="16" t="str">
        <f>IFERROR(__xludf.DUMMYFUNCTION("""COMPUTED_VALUE"""),"DMG")</f>
        <v>DMG</v>
      </c>
      <c r="H371" s="119">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8">
        <f>IFERROR(__xludf.DUMMYFUNCTION("""COMPUTED_VALUE"""),7800000.0)</f>
        <v>7800000</v>
      </c>
      <c r="G372" s="16" t="str">
        <f>IFERROR(__xludf.DUMMYFUNCTION("""COMPUTED_VALUE"""),"DMG")</f>
        <v>DMG</v>
      </c>
      <c r="H372" s="119">
        <f>IFERROR(__xludf.DUMMYFUNCTION("""COMPUTED_VALUE"""),10000.0)</f>
        <v>10000</v>
      </c>
      <c r="I372" s="16"/>
      <c r="J372" s="16"/>
      <c r="K372" s="16"/>
      <c r="L372" s="16"/>
      <c r="M372" s="16"/>
      <c r="N372" s="16"/>
      <c r="O372" s="16"/>
      <c r="P372" s="16"/>
      <c r="Q372" s="16"/>
      <c r="R372" s="16"/>
      <c r="S372" s="16"/>
      <c r="T372" s="16"/>
      <c r="U372" s="16"/>
      <c r="V372" s="16"/>
      <c r="W372" s="16"/>
      <c r="X372" s="16"/>
      <c r="Y372" s="119">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8">
        <f>IFERROR(__xludf.DUMMYFUNCTION("""COMPUTED_VALUE"""),1.272E8)</f>
        <v>127200000</v>
      </c>
      <c r="G373" s="16" t="str">
        <f>IFERROR(__xludf.DUMMYFUNCTION("""COMPUTED_VALUE"""),"DMG")</f>
        <v>DMG</v>
      </c>
      <c r="H373" s="119">
        <f>IFERROR(__xludf.DUMMYFUNCTION("""COMPUTED_VALUE"""),40000.0)</f>
        <v>40000</v>
      </c>
      <c r="I373" s="16"/>
      <c r="J373" s="16"/>
      <c r="K373" s="16"/>
      <c r="L373" s="16"/>
      <c r="M373" s="16"/>
      <c r="N373" s="16"/>
      <c r="O373" s="16"/>
      <c r="P373" s="16"/>
      <c r="Q373" s="16"/>
      <c r="R373" s="16"/>
      <c r="S373" s="16"/>
      <c r="T373" s="16"/>
      <c r="U373" s="16"/>
      <c r="V373" s="16"/>
      <c r="W373" s="16"/>
      <c r="X373" s="16"/>
      <c r="Y373" s="119">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8">
        <f>IFERROR(__xludf.DUMMYFUNCTION("""COMPUTED_VALUE"""),7.14E7)</f>
        <v>71400000</v>
      </c>
      <c r="G374" s="16" t="str">
        <f>IFERROR(__xludf.DUMMYFUNCTION("""COMPUTED_VALUE"""),"DMG")</f>
        <v>DMG</v>
      </c>
      <c r="H374" s="119">
        <f>IFERROR(__xludf.DUMMYFUNCTION("""COMPUTED_VALUE"""),30000.0)</f>
        <v>30000</v>
      </c>
      <c r="I374" s="16"/>
      <c r="J374" s="16"/>
      <c r="K374" s="16"/>
      <c r="L374" s="16"/>
      <c r="M374" s="16"/>
      <c r="N374" s="16"/>
      <c r="O374" s="16"/>
      <c r="P374" s="16"/>
      <c r="Q374" s="16"/>
      <c r="R374" s="16"/>
      <c r="S374" s="16"/>
      <c r="T374" s="16"/>
      <c r="U374" s="16"/>
      <c r="V374" s="16"/>
      <c r="W374" s="16"/>
      <c r="X374" s="16"/>
      <c r="Y374" s="119">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8">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8">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8">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8">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8">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8">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8">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8">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8">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8">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8">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8">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8">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8">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8">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8">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8">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8">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8">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8">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8">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8">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8">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8">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8">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8">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8">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8">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8">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8">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8">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8">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8">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8">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8">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8">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8">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8">
        <f>IFERROR(__xludf.DUMMYFUNCTION("""COMPUTED_VALUE"""),1900000.0)</f>
        <v>1900000</v>
      </c>
      <c r="G412" s="16" t="str">
        <f>IFERROR(__xludf.DUMMYFUNCTION("""COMPUTED_VALUE"""),"DEF")</f>
        <v>DEF</v>
      </c>
      <c r="H412" s="119">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8">
        <f>IFERROR(__xludf.DUMMYFUNCTION("""COMPUTED_VALUE"""),1.77E7)</f>
        <v>17700000</v>
      </c>
      <c r="G413" s="16" t="str">
        <f>IFERROR(__xludf.DUMMYFUNCTION("""COMPUTED_VALUE"""),"DMG")</f>
        <v>DMG</v>
      </c>
      <c r="H413" s="119">
        <f>IFERROR(__xludf.DUMMYFUNCTION("""COMPUTED_VALUE"""),10000.0)</f>
        <v>10000</v>
      </c>
      <c r="I413" s="16"/>
      <c r="J413" s="16"/>
      <c r="K413" s="119">
        <f>IFERROR(__xludf.DUMMYFUNCTION("""COMPUTED_VALUE"""),10000.0)</f>
        <v>10000</v>
      </c>
      <c r="L413" s="119">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8">
        <f>IFERROR(__xludf.DUMMYFUNCTION("""COMPUTED_VALUE"""),1.99E8)</f>
        <v>199000000</v>
      </c>
      <c r="G414" s="16" t="str">
        <f>IFERROR(__xludf.DUMMYFUNCTION("""COMPUTED_VALUE"""),"DMG")</f>
        <v>DMG</v>
      </c>
      <c r="H414" s="119">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9">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8">
        <f>IFERROR(__xludf.DUMMYFUNCTION("""COMPUTED_VALUE"""),7800000.0)</f>
        <v>7800000</v>
      </c>
      <c r="G415" s="16" t="str">
        <f>IFERROR(__xludf.DUMMYFUNCTION("""COMPUTED_VALUE"""),"DMG")</f>
        <v>DMG</v>
      </c>
      <c r="H415" s="119">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8">
        <f>IFERROR(__xludf.DUMMYFUNCTION("""COMPUTED_VALUE"""),3.16E7)</f>
        <v>31600000</v>
      </c>
      <c r="G416" s="16" t="str">
        <f>IFERROR(__xludf.DUMMYFUNCTION("""COMPUTED_VALUE"""),"DMG")</f>
        <v>DMG</v>
      </c>
      <c r="H416" s="119">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8">
        <f>IFERROR(__xludf.DUMMYFUNCTION("""COMPUTED_VALUE"""),1.2475E9)</f>
        <v>1247500000</v>
      </c>
      <c r="G417" s="16" t="str">
        <f>IFERROR(__xludf.DUMMYFUNCTION("""COMPUTED_VALUE"""),"DMG")</f>
        <v>DMG</v>
      </c>
      <c r="H417" s="16"/>
      <c r="I417" s="119">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8">
        <f>IFERROR(__xludf.DUMMYFUNCTION("""COMPUTED_VALUE"""),1.225E7)</f>
        <v>12250000</v>
      </c>
      <c r="G418" s="16" t="str">
        <f>IFERROR(__xludf.DUMMYFUNCTION("""COMPUTED_VALUE"""),"DMG")</f>
        <v>DMG</v>
      </c>
      <c r="H418" s="119">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8">
        <f>IFERROR(__xludf.DUMMYFUNCTION("""COMPUTED_VALUE"""),1.225E7)</f>
        <v>12250000</v>
      </c>
      <c r="G419" s="16" t="str">
        <f>IFERROR(__xludf.DUMMYFUNCTION("""COMPUTED_VALUE"""),"DMG")</f>
        <v>DMG</v>
      </c>
      <c r="H419" s="119">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8">
        <f>IFERROR(__xludf.DUMMYFUNCTION("""COMPUTED_VALUE"""),1.99E8)</f>
        <v>199000000</v>
      </c>
      <c r="G420" s="16" t="str">
        <f>IFERROR(__xludf.DUMMYFUNCTION("""COMPUTED_VALUE"""),"DMG")</f>
        <v>DMG</v>
      </c>
      <c r="H420" s="119">
        <f>IFERROR(__xludf.DUMMYFUNCTION("""COMPUTED_VALUE"""),50000.0)</f>
        <v>50000</v>
      </c>
      <c r="I420" s="119">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8">
        <f>IFERROR(__xludf.DUMMYFUNCTION("""COMPUTED_VALUE"""),1.99E8)</f>
        <v>199000000</v>
      </c>
      <c r="G421" s="16" t="str">
        <f>IFERROR(__xludf.DUMMYFUNCTION("""COMPUTED_VALUE"""),"DMG")</f>
        <v>DMG</v>
      </c>
      <c r="H421" s="119">
        <f>IFERROR(__xludf.DUMMYFUNCTION("""COMPUTED_VALUE"""),50000.0)</f>
        <v>50000</v>
      </c>
      <c r="I421" s="119">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8">
        <f>IFERROR(__xludf.DUMMYFUNCTION("""COMPUTED_VALUE"""),7.98E8)</f>
        <v>798000000</v>
      </c>
      <c r="G422" s="16" t="str">
        <f>IFERROR(__xludf.DUMMYFUNCTION("""COMPUTED_VALUE"""),"DMG")</f>
        <v>DMG</v>
      </c>
      <c r="H422" s="119">
        <f>IFERROR(__xludf.DUMMYFUNCTION("""COMPUTED_VALUE"""),50000.0)</f>
        <v>50000</v>
      </c>
      <c r="I422" s="119">
        <f>IFERROR(__xludf.DUMMYFUNCTION("""COMPUTED_VALUE"""),50000.0)</f>
        <v>50000</v>
      </c>
      <c r="J422" s="16"/>
      <c r="K422" s="16"/>
      <c r="L422" s="16"/>
      <c r="M422" s="16"/>
      <c r="N422" s="16"/>
      <c r="O422" s="16"/>
      <c r="P422" s="16"/>
      <c r="Q422" s="119">
        <f>IFERROR(__xludf.DUMMYFUNCTION("""COMPUTED_VALUE"""),50000.0)</f>
        <v>50000</v>
      </c>
      <c r="R422" s="16"/>
      <c r="S422" s="16"/>
      <c r="T422" s="16"/>
      <c r="U422" s="16"/>
      <c r="V422" s="16"/>
      <c r="W422" s="16"/>
      <c r="X422" s="16"/>
      <c r="Y422" s="119">
        <f>IFERROR(__xludf.DUMMYFUNCTION("""COMPUTED_VALUE"""),25000.0)</f>
        <v>25000</v>
      </c>
      <c r="Z422" s="16"/>
      <c r="AA422" s="16"/>
      <c r="AB422" s="16"/>
      <c r="AC422" s="119">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8">
        <f>IFERROR(__xludf.DUMMYFUNCTION("""COMPUTED_VALUE"""),7.98E8)</f>
        <v>798000000</v>
      </c>
      <c r="G423" s="16" t="str">
        <f>IFERROR(__xludf.DUMMYFUNCTION("""COMPUTED_VALUE"""),"DEF")</f>
        <v>DEF</v>
      </c>
      <c r="H423" s="119">
        <f>IFERROR(__xludf.DUMMYFUNCTION("""COMPUTED_VALUE"""),50000.0)</f>
        <v>50000</v>
      </c>
      <c r="I423" s="119">
        <f>IFERROR(__xludf.DUMMYFUNCTION("""COMPUTED_VALUE"""),50000.0)</f>
        <v>50000</v>
      </c>
      <c r="J423" s="16"/>
      <c r="K423" s="16"/>
      <c r="L423" s="16"/>
      <c r="M423" s="16"/>
      <c r="N423" s="16"/>
      <c r="O423" s="16"/>
      <c r="P423" s="16"/>
      <c r="Q423" s="119">
        <f>IFERROR(__xludf.DUMMYFUNCTION("""COMPUTED_VALUE"""),50000.0)</f>
        <v>50000</v>
      </c>
      <c r="R423" s="16"/>
      <c r="S423" s="16"/>
      <c r="T423" s="16"/>
      <c r="U423" s="16"/>
      <c r="V423" s="16"/>
      <c r="W423" s="16"/>
      <c r="X423" s="16"/>
      <c r="Y423" s="119">
        <f>IFERROR(__xludf.DUMMYFUNCTION("""COMPUTED_VALUE"""),25000.0)</f>
        <v>25000</v>
      </c>
      <c r="Z423" s="16"/>
      <c r="AA423" s="16"/>
      <c r="AB423" s="16"/>
      <c r="AC423" s="119">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8">
        <f>IFERROR(__xludf.DUMMYFUNCTION("""COMPUTED_VALUE"""),7.98E8)</f>
        <v>798000000</v>
      </c>
      <c r="G424" s="16" t="str">
        <f>IFERROR(__xludf.DUMMYFUNCTION("""COMPUTED_VALUE"""),"DEF")</f>
        <v>DEF</v>
      </c>
      <c r="H424" s="119">
        <f>IFERROR(__xludf.DUMMYFUNCTION("""COMPUTED_VALUE"""),50000.0)</f>
        <v>50000</v>
      </c>
      <c r="I424" s="119">
        <f>IFERROR(__xludf.DUMMYFUNCTION("""COMPUTED_VALUE"""),50000.0)</f>
        <v>50000</v>
      </c>
      <c r="J424" s="16"/>
      <c r="K424" s="16"/>
      <c r="L424" s="16"/>
      <c r="M424" s="16"/>
      <c r="N424" s="16"/>
      <c r="O424" s="16"/>
      <c r="P424" s="16"/>
      <c r="Q424" s="119">
        <f>IFERROR(__xludf.DUMMYFUNCTION("""COMPUTED_VALUE"""),50000.0)</f>
        <v>50000</v>
      </c>
      <c r="R424" s="16"/>
      <c r="S424" s="16"/>
      <c r="T424" s="16"/>
      <c r="U424" s="16"/>
      <c r="V424" s="16"/>
      <c r="W424" s="16"/>
      <c r="X424" s="16"/>
      <c r="Y424" s="119">
        <f>IFERROR(__xludf.DUMMYFUNCTION("""COMPUTED_VALUE"""),25000.0)</f>
        <v>25000</v>
      </c>
      <c r="Z424" s="16"/>
      <c r="AA424" s="16"/>
      <c r="AB424" s="16"/>
      <c r="AC424" s="119">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8">
        <f>IFERROR(__xludf.DUMMYFUNCTION("""COMPUTED_VALUE"""),7.98E8)</f>
        <v>798000000</v>
      </c>
      <c r="G425" s="16" t="str">
        <f>IFERROR(__xludf.DUMMYFUNCTION("""COMPUTED_VALUE"""),"DEF")</f>
        <v>DEF</v>
      </c>
      <c r="H425" s="119">
        <f>IFERROR(__xludf.DUMMYFUNCTION("""COMPUTED_VALUE"""),50000.0)</f>
        <v>50000</v>
      </c>
      <c r="I425" s="119">
        <f>IFERROR(__xludf.DUMMYFUNCTION("""COMPUTED_VALUE"""),50000.0)</f>
        <v>50000</v>
      </c>
      <c r="J425" s="16"/>
      <c r="K425" s="16"/>
      <c r="L425" s="16"/>
      <c r="M425" s="16"/>
      <c r="N425" s="16"/>
      <c r="O425" s="16"/>
      <c r="P425" s="16"/>
      <c r="Q425" s="119">
        <f>IFERROR(__xludf.DUMMYFUNCTION("""COMPUTED_VALUE"""),50000.0)</f>
        <v>50000</v>
      </c>
      <c r="R425" s="16"/>
      <c r="S425" s="16"/>
      <c r="T425" s="16"/>
      <c r="U425" s="16"/>
      <c r="V425" s="16"/>
      <c r="W425" s="16"/>
      <c r="X425" s="16"/>
      <c r="Y425" s="119">
        <f>IFERROR(__xludf.DUMMYFUNCTION("""COMPUTED_VALUE"""),25000.0)</f>
        <v>25000</v>
      </c>
      <c r="Z425" s="16"/>
      <c r="AA425" s="16"/>
      <c r="AB425" s="16"/>
      <c r="AC425" s="119">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8">
        <f>IFERROR(__xludf.DUMMYFUNCTION("""COMPUTED_VALUE"""),7.98E8)</f>
        <v>798000000</v>
      </c>
      <c r="G426" s="16" t="str">
        <f>IFERROR(__xludf.DUMMYFUNCTION("""COMPUTED_VALUE"""),"DEF")</f>
        <v>DEF</v>
      </c>
      <c r="H426" s="119">
        <f>IFERROR(__xludf.DUMMYFUNCTION("""COMPUTED_VALUE"""),50000.0)</f>
        <v>50000</v>
      </c>
      <c r="I426" s="119">
        <f>IFERROR(__xludf.DUMMYFUNCTION("""COMPUTED_VALUE"""),50000.0)</f>
        <v>50000</v>
      </c>
      <c r="J426" s="16"/>
      <c r="K426" s="16"/>
      <c r="L426" s="16"/>
      <c r="M426" s="16"/>
      <c r="N426" s="16"/>
      <c r="O426" s="16"/>
      <c r="P426" s="16"/>
      <c r="Q426" s="119">
        <f>IFERROR(__xludf.DUMMYFUNCTION("""COMPUTED_VALUE"""),50000.0)</f>
        <v>50000</v>
      </c>
      <c r="R426" s="16"/>
      <c r="S426" s="16"/>
      <c r="T426" s="16"/>
      <c r="U426" s="16"/>
      <c r="V426" s="16"/>
      <c r="W426" s="16"/>
      <c r="X426" s="16"/>
      <c r="Y426" s="119">
        <f>IFERROR(__xludf.DUMMYFUNCTION("""COMPUTED_VALUE"""),25000.0)</f>
        <v>25000</v>
      </c>
      <c r="Z426" s="16"/>
      <c r="AA426" s="16"/>
      <c r="AB426" s="16"/>
      <c r="AC426" s="119">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8">
        <f>IFERROR(__xludf.DUMMYFUNCTION("""COMPUTED_VALUE"""),7.98E8)</f>
        <v>798000000</v>
      </c>
      <c r="G427" s="16" t="str">
        <f>IFERROR(__xludf.DUMMYFUNCTION("""COMPUTED_VALUE"""),"DEF")</f>
        <v>DEF</v>
      </c>
      <c r="H427" s="119">
        <f>IFERROR(__xludf.DUMMYFUNCTION("""COMPUTED_VALUE"""),50000.0)</f>
        <v>50000</v>
      </c>
      <c r="I427" s="119">
        <f>IFERROR(__xludf.DUMMYFUNCTION("""COMPUTED_VALUE"""),50000.0)</f>
        <v>50000</v>
      </c>
      <c r="J427" s="16"/>
      <c r="K427" s="16"/>
      <c r="L427" s="16"/>
      <c r="M427" s="16"/>
      <c r="N427" s="16"/>
      <c r="O427" s="16"/>
      <c r="P427" s="16"/>
      <c r="Q427" s="119">
        <f>IFERROR(__xludf.DUMMYFUNCTION("""COMPUTED_VALUE"""),50000.0)</f>
        <v>50000</v>
      </c>
      <c r="R427" s="16"/>
      <c r="S427" s="16"/>
      <c r="T427" s="16"/>
      <c r="U427" s="16"/>
      <c r="V427" s="16"/>
      <c r="W427" s="16"/>
      <c r="X427" s="16"/>
      <c r="Y427" s="119">
        <f>IFERROR(__xludf.DUMMYFUNCTION("""COMPUTED_VALUE"""),25000.0)</f>
        <v>25000</v>
      </c>
      <c r="Z427" s="16"/>
      <c r="AA427" s="16"/>
      <c r="AB427" s="16"/>
      <c r="AC427" s="119">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8">
        <f>IFERROR(__xludf.DUMMYFUNCTION("""COMPUTED_VALUE"""),7.98E8)</f>
        <v>798000000</v>
      </c>
      <c r="G428" s="16" t="str">
        <f>IFERROR(__xludf.DUMMYFUNCTION("""COMPUTED_VALUE"""),"DEF")</f>
        <v>DEF</v>
      </c>
      <c r="H428" s="119">
        <f>IFERROR(__xludf.DUMMYFUNCTION("""COMPUTED_VALUE"""),50000.0)</f>
        <v>50000</v>
      </c>
      <c r="I428" s="119">
        <f>IFERROR(__xludf.DUMMYFUNCTION("""COMPUTED_VALUE"""),50000.0)</f>
        <v>50000</v>
      </c>
      <c r="J428" s="16"/>
      <c r="K428" s="16"/>
      <c r="L428" s="16"/>
      <c r="M428" s="16"/>
      <c r="N428" s="16"/>
      <c r="O428" s="16"/>
      <c r="P428" s="16"/>
      <c r="Q428" s="119">
        <f>IFERROR(__xludf.DUMMYFUNCTION("""COMPUTED_VALUE"""),50000.0)</f>
        <v>50000</v>
      </c>
      <c r="R428" s="16"/>
      <c r="S428" s="16"/>
      <c r="T428" s="16"/>
      <c r="U428" s="16"/>
      <c r="V428" s="16"/>
      <c r="W428" s="16"/>
      <c r="X428" s="16"/>
      <c r="Y428" s="119">
        <f>IFERROR(__xludf.DUMMYFUNCTION("""COMPUTED_VALUE"""),25000.0)</f>
        <v>25000</v>
      </c>
      <c r="Z428" s="16"/>
      <c r="AA428" s="16"/>
      <c r="AB428" s="16"/>
      <c r="AC428" s="119">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8">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9">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8">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9">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8">
        <f>IFERROR(__xludf.DUMMYFUNCTION("""COMPUTED_VALUE"""),1.272E8)</f>
        <v>127200000</v>
      </c>
      <c r="G431" s="16" t="str">
        <f>IFERROR(__xludf.DUMMYFUNCTION("""COMPUTED_VALUE"""),"DMG")</f>
        <v>DMG</v>
      </c>
      <c r="H431" s="119">
        <f>IFERROR(__xludf.DUMMYFUNCTION("""COMPUTED_VALUE"""),20000.0)</f>
        <v>20000</v>
      </c>
      <c r="I431" s="119">
        <f>IFERROR(__xludf.DUMMYFUNCTION("""COMPUTED_VALUE"""),20000.0)</f>
        <v>20000</v>
      </c>
      <c r="J431" s="16"/>
      <c r="K431" s="119">
        <f>IFERROR(__xludf.DUMMYFUNCTION("""COMPUTED_VALUE"""),20000.0)</f>
        <v>20000</v>
      </c>
      <c r="L431" s="119">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8">
        <f>IFERROR(__xludf.DUMMYFUNCTION("""COMPUTED_VALUE"""),5.104E8)</f>
        <v>510400000</v>
      </c>
      <c r="G432" s="16" t="str">
        <f>IFERROR(__xludf.DUMMYFUNCTION("""COMPUTED_VALUE"""),"DEF")</f>
        <v>DEF</v>
      </c>
      <c r="H432" s="119">
        <f>IFERROR(__xludf.DUMMYFUNCTION("""COMPUTED_VALUE"""),10000.0)</f>
        <v>10000</v>
      </c>
      <c r="I432" s="119">
        <f>IFERROR(__xludf.DUMMYFUNCTION("""COMPUTED_VALUE"""),10000.0)</f>
        <v>10000</v>
      </c>
      <c r="J432" s="119">
        <f>IFERROR(__xludf.DUMMYFUNCTION("""COMPUTED_VALUE"""),10000.0)</f>
        <v>10000</v>
      </c>
      <c r="K432" s="119">
        <f>IFERROR(__xludf.DUMMYFUNCTION("""COMPUTED_VALUE"""),10000.0)</f>
        <v>10000</v>
      </c>
      <c r="L432" s="119">
        <f>IFERROR(__xludf.DUMMYFUNCTION("""COMPUTED_VALUE"""),10000.0)</f>
        <v>10000</v>
      </c>
      <c r="M432" s="119">
        <f>IFERROR(__xludf.DUMMYFUNCTION("""COMPUTED_VALUE"""),10000.0)</f>
        <v>10000</v>
      </c>
      <c r="N432" s="119">
        <f>IFERROR(__xludf.DUMMYFUNCTION("""COMPUTED_VALUE"""),10000.0)</f>
        <v>10000</v>
      </c>
      <c r="O432" s="119">
        <f>IFERROR(__xludf.DUMMYFUNCTION("""COMPUTED_VALUE"""),10000.0)</f>
        <v>10000</v>
      </c>
      <c r="P432" s="119">
        <f>IFERROR(__xludf.DUMMYFUNCTION("""COMPUTED_VALUE"""),10000.0)</f>
        <v>10000</v>
      </c>
      <c r="Q432" s="119">
        <f>IFERROR(__xludf.DUMMYFUNCTION("""COMPUTED_VALUE"""),10000.0)</f>
        <v>10000</v>
      </c>
      <c r="R432" s="119">
        <f>IFERROR(__xludf.DUMMYFUNCTION("""COMPUTED_VALUE"""),10000.0)</f>
        <v>10000</v>
      </c>
      <c r="S432" s="119">
        <f>IFERROR(__xludf.DUMMYFUNCTION("""COMPUTED_VALUE"""),10000.0)</f>
        <v>10000</v>
      </c>
      <c r="T432" s="16"/>
      <c r="U432" s="16"/>
      <c r="V432" s="16"/>
      <c r="W432" s="16"/>
      <c r="X432" s="119">
        <f>IFERROR(__xludf.DUMMYFUNCTION("""COMPUTED_VALUE"""),10000.0)</f>
        <v>10000</v>
      </c>
      <c r="Y432" s="119">
        <f>IFERROR(__xludf.DUMMYFUNCTION("""COMPUTED_VALUE"""),10000.0)</f>
        <v>10000</v>
      </c>
      <c r="Z432" s="16"/>
      <c r="AA432" s="16"/>
      <c r="AB432" s="119">
        <f>IFERROR(__xludf.DUMMYFUNCTION("""COMPUTED_VALUE"""),10000.0)</f>
        <v>10000</v>
      </c>
      <c r="AC432" s="119">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8">
        <f>IFERROR(__xludf.DUMMYFUNCTION("""COMPUTED_VALUE"""),5.104E8)</f>
        <v>510400000</v>
      </c>
      <c r="G433" s="16" t="str">
        <f>IFERROR(__xludf.DUMMYFUNCTION("""COMPUTED_VALUE"""),"DEF")</f>
        <v>DEF</v>
      </c>
      <c r="H433" s="119">
        <f>IFERROR(__xludf.DUMMYFUNCTION("""COMPUTED_VALUE"""),10000.0)</f>
        <v>10000</v>
      </c>
      <c r="I433" s="119">
        <f>IFERROR(__xludf.DUMMYFUNCTION("""COMPUTED_VALUE"""),10000.0)</f>
        <v>10000</v>
      </c>
      <c r="J433" s="119">
        <f>IFERROR(__xludf.DUMMYFUNCTION("""COMPUTED_VALUE"""),10000.0)</f>
        <v>10000</v>
      </c>
      <c r="K433" s="119">
        <f>IFERROR(__xludf.DUMMYFUNCTION("""COMPUTED_VALUE"""),10000.0)</f>
        <v>10000</v>
      </c>
      <c r="L433" s="119">
        <f>IFERROR(__xludf.DUMMYFUNCTION("""COMPUTED_VALUE"""),10000.0)</f>
        <v>10000</v>
      </c>
      <c r="M433" s="119">
        <f>IFERROR(__xludf.DUMMYFUNCTION("""COMPUTED_VALUE"""),10000.0)</f>
        <v>10000</v>
      </c>
      <c r="N433" s="119">
        <f>IFERROR(__xludf.DUMMYFUNCTION("""COMPUTED_VALUE"""),10000.0)</f>
        <v>10000</v>
      </c>
      <c r="O433" s="119">
        <f>IFERROR(__xludf.DUMMYFUNCTION("""COMPUTED_VALUE"""),10000.0)</f>
        <v>10000</v>
      </c>
      <c r="P433" s="119">
        <f>IFERROR(__xludf.DUMMYFUNCTION("""COMPUTED_VALUE"""),10000.0)</f>
        <v>10000</v>
      </c>
      <c r="Q433" s="119">
        <f>IFERROR(__xludf.DUMMYFUNCTION("""COMPUTED_VALUE"""),10000.0)</f>
        <v>10000</v>
      </c>
      <c r="R433" s="119">
        <f>IFERROR(__xludf.DUMMYFUNCTION("""COMPUTED_VALUE"""),10000.0)</f>
        <v>10000</v>
      </c>
      <c r="S433" s="119">
        <f>IFERROR(__xludf.DUMMYFUNCTION("""COMPUTED_VALUE"""),10000.0)</f>
        <v>10000</v>
      </c>
      <c r="T433" s="16"/>
      <c r="U433" s="16"/>
      <c r="V433" s="16"/>
      <c r="W433" s="16"/>
      <c r="X433" s="119">
        <f>IFERROR(__xludf.DUMMYFUNCTION("""COMPUTED_VALUE"""),10000.0)</f>
        <v>10000</v>
      </c>
      <c r="Y433" s="119">
        <f>IFERROR(__xludf.DUMMYFUNCTION("""COMPUTED_VALUE"""),10000.0)</f>
        <v>10000</v>
      </c>
      <c r="Z433" s="16"/>
      <c r="AA433" s="16"/>
      <c r="AB433" s="119">
        <f>IFERROR(__xludf.DUMMYFUNCTION("""COMPUTED_VALUE"""),10000.0)</f>
        <v>10000</v>
      </c>
      <c r="AC433" s="119">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8">
        <f>IFERROR(__xludf.DUMMYFUNCTION("""COMPUTED_VALUE"""),5.104E8)</f>
        <v>510400000</v>
      </c>
      <c r="G434" s="16" t="str">
        <f>IFERROR(__xludf.DUMMYFUNCTION("""COMPUTED_VALUE"""),"DEF")</f>
        <v>DEF</v>
      </c>
      <c r="H434" s="119">
        <f>IFERROR(__xludf.DUMMYFUNCTION("""COMPUTED_VALUE"""),10000.0)</f>
        <v>10000</v>
      </c>
      <c r="I434" s="119">
        <f>IFERROR(__xludf.DUMMYFUNCTION("""COMPUTED_VALUE"""),10000.0)</f>
        <v>10000</v>
      </c>
      <c r="J434" s="119">
        <f>IFERROR(__xludf.DUMMYFUNCTION("""COMPUTED_VALUE"""),10000.0)</f>
        <v>10000</v>
      </c>
      <c r="K434" s="119">
        <f>IFERROR(__xludf.DUMMYFUNCTION("""COMPUTED_VALUE"""),10000.0)</f>
        <v>10000</v>
      </c>
      <c r="L434" s="119">
        <f>IFERROR(__xludf.DUMMYFUNCTION("""COMPUTED_VALUE"""),10000.0)</f>
        <v>10000</v>
      </c>
      <c r="M434" s="119">
        <f>IFERROR(__xludf.DUMMYFUNCTION("""COMPUTED_VALUE"""),10000.0)</f>
        <v>10000</v>
      </c>
      <c r="N434" s="119">
        <f>IFERROR(__xludf.DUMMYFUNCTION("""COMPUTED_VALUE"""),10000.0)</f>
        <v>10000</v>
      </c>
      <c r="O434" s="119">
        <f>IFERROR(__xludf.DUMMYFUNCTION("""COMPUTED_VALUE"""),10000.0)</f>
        <v>10000</v>
      </c>
      <c r="P434" s="119">
        <f>IFERROR(__xludf.DUMMYFUNCTION("""COMPUTED_VALUE"""),10000.0)</f>
        <v>10000</v>
      </c>
      <c r="Q434" s="119">
        <f>IFERROR(__xludf.DUMMYFUNCTION("""COMPUTED_VALUE"""),10000.0)</f>
        <v>10000</v>
      </c>
      <c r="R434" s="119">
        <f>IFERROR(__xludf.DUMMYFUNCTION("""COMPUTED_VALUE"""),10000.0)</f>
        <v>10000</v>
      </c>
      <c r="S434" s="119">
        <f>IFERROR(__xludf.DUMMYFUNCTION("""COMPUTED_VALUE"""),10000.0)</f>
        <v>10000</v>
      </c>
      <c r="T434" s="16"/>
      <c r="U434" s="16"/>
      <c r="V434" s="16"/>
      <c r="W434" s="16"/>
      <c r="X434" s="119">
        <f>IFERROR(__xludf.DUMMYFUNCTION("""COMPUTED_VALUE"""),10000.0)</f>
        <v>10000</v>
      </c>
      <c r="Y434" s="119">
        <f>IFERROR(__xludf.DUMMYFUNCTION("""COMPUTED_VALUE"""),10000.0)</f>
        <v>10000</v>
      </c>
      <c r="Z434" s="16"/>
      <c r="AA434" s="16"/>
      <c r="AB434" s="119">
        <f>IFERROR(__xludf.DUMMYFUNCTION("""COMPUTED_VALUE"""),10000.0)</f>
        <v>10000</v>
      </c>
      <c r="AC434" s="119">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8">
        <f>IFERROR(__xludf.DUMMYFUNCTION("""COMPUTED_VALUE"""),5.104E8)</f>
        <v>510400000</v>
      </c>
      <c r="G435" s="16" t="str">
        <f>IFERROR(__xludf.DUMMYFUNCTION("""COMPUTED_VALUE"""),"DEF")</f>
        <v>DEF</v>
      </c>
      <c r="H435" s="119">
        <f>IFERROR(__xludf.DUMMYFUNCTION("""COMPUTED_VALUE"""),10000.0)</f>
        <v>10000</v>
      </c>
      <c r="I435" s="119">
        <f>IFERROR(__xludf.DUMMYFUNCTION("""COMPUTED_VALUE"""),10000.0)</f>
        <v>10000</v>
      </c>
      <c r="J435" s="119">
        <f>IFERROR(__xludf.DUMMYFUNCTION("""COMPUTED_VALUE"""),10000.0)</f>
        <v>10000</v>
      </c>
      <c r="K435" s="119">
        <f>IFERROR(__xludf.DUMMYFUNCTION("""COMPUTED_VALUE"""),10000.0)</f>
        <v>10000</v>
      </c>
      <c r="L435" s="119">
        <f>IFERROR(__xludf.DUMMYFUNCTION("""COMPUTED_VALUE"""),10000.0)</f>
        <v>10000</v>
      </c>
      <c r="M435" s="119">
        <f>IFERROR(__xludf.DUMMYFUNCTION("""COMPUTED_VALUE"""),10000.0)</f>
        <v>10000</v>
      </c>
      <c r="N435" s="119">
        <f>IFERROR(__xludf.DUMMYFUNCTION("""COMPUTED_VALUE"""),10000.0)</f>
        <v>10000</v>
      </c>
      <c r="O435" s="119">
        <f>IFERROR(__xludf.DUMMYFUNCTION("""COMPUTED_VALUE"""),10000.0)</f>
        <v>10000</v>
      </c>
      <c r="P435" s="119">
        <f>IFERROR(__xludf.DUMMYFUNCTION("""COMPUTED_VALUE"""),10000.0)</f>
        <v>10000</v>
      </c>
      <c r="Q435" s="119">
        <f>IFERROR(__xludf.DUMMYFUNCTION("""COMPUTED_VALUE"""),10000.0)</f>
        <v>10000</v>
      </c>
      <c r="R435" s="119">
        <f>IFERROR(__xludf.DUMMYFUNCTION("""COMPUTED_VALUE"""),10000.0)</f>
        <v>10000</v>
      </c>
      <c r="S435" s="119">
        <f>IFERROR(__xludf.DUMMYFUNCTION("""COMPUTED_VALUE"""),10000.0)</f>
        <v>10000</v>
      </c>
      <c r="T435" s="16"/>
      <c r="U435" s="16"/>
      <c r="V435" s="16"/>
      <c r="W435" s="16"/>
      <c r="X435" s="119">
        <f>IFERROR(__xludf.DUMMYFUNCTION("""COMPUTED_VALUE"""),10000.0)</f>
        <v>10000</v>
      </c>
      <c r="Y435" s="119">
        <f>IFERROR(__xludf.DUMMYFUNCTION("""COMPUTED_VALUE"""),10000.0)</f>
        <v>10000</v>
      </c>
      <c r="Z435" s="16"/>
      <c r="AA435" s="16"/>
      <c r="AB435" s="119">
        <f>IFERROR(__xludf.DUMMYFUNCTION("""COMPUTED_VALUE"""),10000.0)</f>
        <v>10000</v>
      </c>
      <c r="AC435" s="119">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8">
        <f>IFERROR(__xludf.DUMMYFUNCTION("""COMPUTED_VALUE"""),5.104E8)</f>
        <v>510400000</v>
      </c>
      <c r="G436" s="16" t="str">
        <f>IFERROR(__xludf.DUMMYFUNCTION("""COMPUTED_VALUE"""),"DMG")</f>
        <v>DMG</v>
      </c>
      <c r="H436" s="119">
        <f>IFERROR(__xludf.DUMMYFUNCTION("""COMPUTED_VALUE"""),10000.0)</f>
        <v>10000</v>
      </c>
      <c r="I436" s="119">
        <f>IFERROR(__xludf.DUMMYFUNCTION("""COMPUTED_VALUE"""),10000.0)</f>
        <v>10000</v>
      </c>
      <c r="J436" s="119">
        <f>IFERROR(__xludf.DUMMYFUNCTION("""COMPUTED_VALUE"""),10000.0)</f>
        <v>10000</v>
      </c>
      <c r="K436" s="119">
        <f>IFERROR(__xludf.DUMMYFUNCTION("""COMPUTED_VALUE"""),10000.0)</f>
        <v>10000</v>
      </c>
      <c r="L436" s="119">
        <f>IFERROR(__xludf.DUMMYFUNCTION("""COMPUTED_VALUE"""),10000.0)</f>
        <v>10000</v>
      </c>
      <c r="M436" s="119">
        <f>IFERROR(__xludf.DUMMYFUNCTION("""COMPUTED_VALUE"""),10000.0)</f>
        <v>10000</v>
      </c>
      <c r="N436" s="119">
        <f>IFERROR(__xludf.DUMMYFUNCTION("""COMPUTED_VALUE"""),10000.0)</f>
        <v>10000</v>
      </c>
      <c r="O436" s="119">
        <f>IFERROR(__xludf.DUMMYFUNCTION("""COMPUTED_VALUE"""),10000.0)</f>
        <v>10000</v>
      </c>
      <c r="P436" s="119">
        <f>IFERROR(__xludf.DUMMYFUNCTION("""COMPUTED_VALUE"""),10000.0)</f>
        <v>10000</v>
      </c>
      <c r="Q436" s="119">
        <f>IFERROR(__xludf.DUMMYFUNCTION("""COMPUTED_VALUE"""),10000.0)</f>
        <v>10000</v>
      </c>
      <c r="R436" s="119">
        <f>IFERROR(__xludf.DUMMYFUNCTION("""COMPUTED_VALUE"""),10000.0)</f>
        <v>10000</v>
      </c>
      <c r="S436" s="119">
        <f>IFERROR(__xludf.DUMMYFUNCTION("""COMPUTED_VALUE"""),10000.0)</f>
        <v>10000</v>
      </c>
      <c r="T436" s="16"/>
      <c r="U436" s="16"/>
      <c r="V436" s="16"/>
      <c r="W436" s="16"/>
      <c r="X436" s="119">
        <f>IFERROR(__xludf.DUMMYFUNCTION("""COMPUTED_VALUE"""),10000.0)</f>
        <v>10000</v>
      </c>
      <c r="Y436" s="119">
        <f>IFERROR(__xludf.DUMMYFUNCTION("""COMPUTED_VALUE"""),10000.0)</f>
        <v>10000</v>
      </c>
      <c r="Z436" s="16"/>
      <c r="AA436" s="16"/>
      <c r="AB436" s="119">
        <f>IFERROR(__xludf.DUMMYFUNCTION("""COMPUTED_VALUE"""),10000.0)</f>
        <v>10000</v>
      </c>
      <c r="AC436" s="119">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8">
        <f>IFERROR(__xludf.DUMMYFUNCTION("""COMPUTED_VALUE"""),7.14E7)</f>
        <v>71400000</v>
      </c>
      <c r="G437" s="16" t="str">
        <f>IFERROR(__xludf.DUMMYFUNCTION("""COMPUTED_VALUE"""),"DMG")</f>
        <v>DMG</v>
      </c>
      <c r="H437" s="16"/>
      <c r="I437" s="119">
        <f>IFERROR(__xludf.DUMMYFUNCTION("""COMPUTED_VALUE"""),20000.0)</f>
        <v>20000</v>
      </c>
      <c r="J437" s="16"/>
      <c r="K437" s="16"/>
      <c r="L437" s="16"/>
      <c r="M437" s="16"/>
      <c r="N437" s="16"/>
      <c r="O437" s="119">
        <f>IFERROR(__xludf.DUMMYFUNCTION("""COMPUTED_VALUE"""),20000.0)</f>
        <v>20000</v>
      </c>
      <c r="P437" s="16"/>
      <c r="Q437" s="16"/>
      <c r="R437" s="119">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8">
        <f>IFERROR(__xludf.DUMMYFUNCTION("""COMPUTED_VALUE"""),4.0455E9)</f>
        <v>4045500000</v>
      </c>
      <c r="G438" s="16" t="str">
        <f>IFERROR(__xludf.DUMMYFUNCTION("""COMPUTED_VALUE"""),"DMG")</f>
        <v>DMG</v>
      </c>
      <c r="H438" s="119">
        <f>IFERROR(__xludf.DUMMYFUNCTION("""COMPUTED_VALUE"""),150000.0)</f>
        <v>150000</v>
      </c>
      <c r="I438" s="16"/>
      <c r="J438" s="16"/>
      <c r="K438" s="16"/>
      <c r="L438" s="16"/>
      <c r="M438" s="16"/>
      <c r="N438" s="16"/>
      <c r="O438" s="119">
        <f>IFERROR(__xludf.DUMMYFUNCTION("""COMPUTED_VALUE"""),150000.0)</f>
        <v>150000</v>
      </c>
      <c r="P438" s="16"/>
      <c r="Q438" s="16"/>
      <c r="R438" s="16"/>
      <c r="S438" s="16"/>
      <c r="T438" s="16"/>
      <c r="U438" s="16"/>
      <c r="V438" s="16"/>
      <c r="W438" s="16"/>
      <c r="X438" s="16"/>
      <c r="Y438" s="16"/>
      <c r="Z438" s="16"/>
      <c r="AA438" s="16"/>
      <c r="AB438" s="16"/>
      <c r="AC438" s="119">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8">
        <f>IFERROR(__xludf.DUMMYFUNCTION("""COMPUTED_VALUE"""),4.95E7)</f>
        <v>49500000</v>
      </c>
      <c r="G439" s="16" t="str">
        <f>IFERROR(__xludf.DUMMYFUNCTION("""COMPUTED_VALUE"""),"DEF")</f>
        <v>DEF</v>
      </c>
      <c r="H439" s="119">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8">
        <f>IFERROR(__xludf.DUMMYFUNCTION("""COMPUTED_VALUE"""),2.415E7)</f>
        <v>24150000</v>
      </c>
      <c r="G440" s="16" t="str">
        <f>IFERROR(__xludf.DUMMYFUNCTION("""COMPUTED_VALUE"""),"DEF")</f>
        <v>DEF</v>
      </c>
      <c r="H440" s="119">
        <f>IFERROR(__xludf.DUMMYFUNCTION("""COMPUTED_VALUE"""),25000.0)</f>
        <v>25000</v>
      </c>
      <c r="I440" s="16"/>
      <c r="J440" s="16"/>
      <c r="K440" s="119">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8">
        <f>IFERROR(__xludf.DUMMYFUNCTION("""COMPUTED_VALUE"""),1900000.0)</f>
        <v>1900000</v>
      </c>
      <c r="G441" s="16" t="str">
        <f>IFERROR(__xludf.DUMMYFUNCTION("""COMPUTED_VALUE"""),"DEF")</f>
        <v>DEF</v>
      </c>
      <c r="H441" s="119">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8">
        <f>IFERROR(__xludf.DUMMYFUNCTION("""COMPUTED_VALUE"""),1.0557E9)</f>
        <v>1055700000</v>
      </c>
      <c r="G442" s="16" t="str">
        <f>IFERROR(__xludf.DUMMYFUNCTION("""COMPUTED_VALUE"""),"DMG")</f>
        <v>DMG</v>
      </c>
      <c r="H442" s="119">
        <f>IFERROR(__xludf.DUMMYFUNCTION("""COMPUTED_VALUE"""),50000.0)</f>
        <v>50000</v>
      </c>
      <c r="I442" s="119">
        <f>IFERROR(__xludf.DUMMYFUNCTION("""COMPUTED_VALUE"""),20000.0)</f>
        <v>20000</v>
      </c>
      <c r="J442" s="16"/>
      <c r="K442" s="16"/>
      <c r="L442" s="16"/>
      <c r="M442" s="16"/>
      <c r="N442" s="16"/>
      <c r="O442" s="119">
        <f>IFERROR(__xludf.DUMMYFUNCTION("""COMPUTED_VALUE"""),20000.0)</f>
        <v>20000</v>
      </c>
      <c r="P442" s="119">
        <f>IFERROR(__xludf.DUMMYFUNCTION("""COMPUTED_VALUE"""),20000.0)</f>
        <v>20000</v>
      </c>
      <c r="Q442" s="16"/>
      <c r="R442" s="119">
        <f>IFERROR(__xludf.DUMMYFUNCTION("""COMPUTED_VALUE"""),20000.0)</f>
        <v>20000</v>
      </c>
      <c r="S442" s="16"/>
      <c r="T442" s="16"/>
      <c r="U442" s="16"/>
      <c r="V442" s="119">
        <f>IFERROR(__xludf.DUMMYFUNCTION("""COMPUTED_VALUE"""),20000.0)</f>
        <v>20000</v>
      </c>
      <c r="W442" s="119">
        <f>IFERROR(__xludf.DUMMYFUNCTION("""COMPUTED_VALUE"""),20000.0)</f>
        <v>20000</v>
      </c>
      <c r="X442" s="119">
        <f>IFERROR(__xludf.DUMMYFUNCTION("""COMPUTED_VALUE"""),20000.0)</f>
        <v>20000</v>
      </c>
      <c r="Y442" s="119">
        <f>IFERROR(__xludf.DUMMYFUNCTION("""COMPUTED_VALUE"""),20000.0)</f>
        <v>20000</v>
      </c>
      <c r="Z442" s="16"/>
      <c r="AA442" s="16"/>
      <c r="AB442" s="16"/>
      <c r="AC442" s="119">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8">
        <f>IFERROR(__xludf.DUMMYFUNCTION("""COMPUTED_VALUE"""),1.0557E9)</f>
        <v>1055700000</v>
      </c>
      <c r="G443" s="16" t="str">
        <f>IFERROR(__xludf.DUMMYFUNCTION("""COMPUTED_VALUE"""),"DEF")</f>
        <v>DEF</v>
      </c>
      <c r="H443" s="119">
        <f>IFERROR(__xludf.DUMMYFUNCTION("""COMPUTED_VALUE"""),50000.0)</f>
        <v>50000</v>
      </c>
      <c r="I443" s="119">
        <f>IFERROR(__xludf.DUMMYFUNCTION("""COMPUTED_VALUE"""),20000.0)</f>
        <v>20000</v>
      </c>
      <c r="J443" s="16"/>
      <c r="K443" s="16"/>
      <c r="L443" s="16"/>
      <c r="M443" s="16"/>
      <c r="N443" s="16"/>
      <c r="O443" s="119">
        <f>IFERROR(__xludf.DUMMYFUNCTION("""COMPUTED_VALUE"""),20000.0)</f>
        <v>20000</v>
      </c>
      <c r="P443" s="119">
        <f>IFERROR(__xludf.DUMMYFUNCTION("""COMPUTED_VALUE"""),20000.0)</f>
        <v>20000</v>
      </c>
      <c r="Q443" s="16"/>
      <c r="R443" s="119">
        <f>IFERROR(__xludf.DUMMYFUNCTION("""COMPUTED_VALUE"""),20000.0)</f>
        <v>20000</v>
      </c>
      <c r="S443" s="16"/>
      <c r="T443" s="16"/>
      <c r="U443" s="16"/>
      <c r="V443" s="119">
        <f>IFERROR(__xludf.DUMMYFUNCTION("""COMPUTED_VALUE"""),20000.0)</f>
        <v>20000</v>
      </c>
      <c r="W443" s="119">
        <f>IFERROR(__xludf.DUMMYFUNCTION("""COMPUTED_VALUE"""),20000.0)</f>
        <v>20000</v>
      </c>
      <c r="X443" s="119">
        <f>IFERROR(__xludf.DUMMYFUNCTION("""COMPUTED_VALUE"""),20000.0)</f>
        <v>20000</v>
      </c>
      <c r="Y443" s="119">
        <f>IFERROR(__xludf.DUMMYFUNCTION("""COMPUTED_VALUE"""),20000.0)</f>
        <v>20000</v>
      </c>
      <c r="Z443" s="16"/>
      <c r="AA443" s="16"/>
      <c r="AB443" s="16"/>
      <c r="AC443" s="119">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8">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8">
        <f>IFERROR(__xludf.DUMMYFUNCTION("""COMPUTED_VALUE"""),9.73E7)</f>
        <v>97300000</v>
      </c>
      <c r="G445" s="16" t="str">
        <f>IFERROR(__xludf.DUMMYFUNCTION("""COMPUTED_VALUE"""),"DEF")</f>
        <v>DEF</v>
      </c>
      <c r="H445" s="119">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8">
        <f>IFERROR(__xludf.DUMMYFUNCTION("""COMPUTED_VALUE"""),5.995E7)</f>
        <v>59950000</v>
      </c>
      <c r="G446" s="16" t="str">
        <f>IFERROR(__xludf.DUMMYFUNCTION("""COMPUTED_VALUE"""),"DEF")</f>
        <v>DEF</v>
      </c>
      <c r="H446" s="119">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8">
        <f>IFERROR(__xludf.DUMMYFUNCTION("""COMPUTED_VALUE"""),3.16E7)</f>
        <v>31600000</v>
      </c>
      <c r="G447" s="16" t="str">
        <f>IFERROR(__xludf.DUMMYFUNCTION("""COMPUTED_VALUE"""),"DEF")</f>
        <v>DEF</v>
      </c>
      <c r="H447" s="119">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8">
        <f>IFERROR(__xludf.DUMMYFUNCTION("""COMPUTED_VALUE"""),3.16E7)</f>
        <v>31600000</v>
      </c>
      <c r="G448" s="16" t="str">
        <f>IFERROR(__xludf.DUMMYFUNCTION("""COMPUTED_VALUE"""),"DEF")</f>
        <v>DEF</v>
      </c>
      <c r="H448" s="119">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8">
        <f>IFERROR(__xludf.DUMMYFUNCTION("""COMPUTED_VALUE"""),2.1945E8)</f>
        <v>219450000</v>
      </c>
      <c r="G449" s="16" t="str">
        <f>IFERROR(__xludf.DUMMYFUNCTION("""COMPUTED_VALUE"""),"DEF")</f>
        <v>DEF</v>
      </c>
      <c r="H449" s="119">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8">
        <f>IFERROR(__xludf.DUMMYFUNCTION("""COMPUTED_VALUE"""),5.356E7)</f>
        <v>53560000</v>
      </c>
      <c r="G450" s="16" t="str">
        <f>IFERROR(__xludf.DUMMYFUNCTION("""COMPUTED_VALUE"""),"DEF")</f>
        <v>DEF</v>
      </c>
      <c r="H450" s="119">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8">
        <f>IFERROR(__xludf.DUMMYFUNCTION("""COMPUTED_VALUE"""),4.95E7)</f>
        <v>49500000</v>
      </c>
      <c r="G451" s="16" t="str">
        <f>IFERROR(__xludf.DUMMYFUNCTION("""COMPUTED_VALUE"""),"DEF")</f>
        <v>DEF</v>
      </c>
      <c r="H451" s="119">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8">
        <f>IFERROR(__xludf.DUMMYFUNCTION("""COMPUTED_VALUE"""),3.367E8)</f>
        <v>336700000</v>
      </c>
      <c r="G452" s="16" t="str">
        <f>IFERROR(__xludf.DUMMYFUNCTION("""COMPUTED_VALUE"""),"DMG")</f>
        <v>DMG</v>
      </c>
      <c r="H452" s="119">
        <f>IFERROR(__xludf.DUMMYFUNCTION("""COMPUTED_VALUE"""),100000.0)</f>
        <v>100000</v>
      </c>
      <c r="I452" s="16"/>
      <c r="J452" s="16"/>
      <c r="K452" s="16"/>
      <c r="L452" s="16"/>
      <c r="M452" s="16"/>
      <c r="N452" s="16">
        <f>IFERROR(__xludf.DUMMYFUNCTION("""COMPUTED_VALUE"""),10000.0)</f>
        <v>10000</v>
      </c>
      <c r="O452" s="16"/>
      <c r="P452" s="16"/>
      <c r="Q452" s="119">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8">
        <f>IFERROR(__xludf.DUMMYFUNCTION("""COMPUTED_VALUE"""),1.99E8)</f>
        <v>199000000</v>
      </c>
      <c r="G453" s="16" t="str">
        <f>IFERROR(__xludf.DUMMYFUNCTION("""COMPUTED_VALUE"""),"DEF")</f>
        <v>DEF</v>
      </c>
      <c r="H453" s="119">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9">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8">
        <f>IFERROR(__xludf.DUMMYFUNCTION("""COMPUTED_VALUE"""),1.99E8)</f>
        <v>199000000</v>
      </c>
      <c r="G454" s="16" t="str">
        <f>IFERROR(__xludf.DUMMYFUNCTION("""COMPUTED_VALUE"""),"DEF")</f>
        <v>DEF</v>
      </c>
      <c r="H454" s="119">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9">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8">
        <f>IFERROR(__xludf.DUMMYFUNCTION("""COMPUTED_VALUE"""),1.99E8)</f>
        <v>199000000</v>
      </c>
      <c r="G455" s="16" t="str">
        <f>IFERROR(__xludf.DUMMYFUNCTION("""COMPUTED_VALUE"""),"DEF")</f>
        <v>DEF</v>
      </c>
      <c r="H455" s="119">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9">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8">
        <f>IFERROR(__xludf.DUMMYFUNCTION("""COMPUTED_VALUE"""),1.99E8)</f>
        <v>199000000</v>
      </c>
      <c r="G456" s="16" t="str">
        <f>IFERROR(__xludf.DUMMYFUNCTION("""COMPUTED_VALUE"""),"DEF")</f>
        <v>DEF</v>
      </c>
      <c r="H456" s="119">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9">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8">
        <f>IFERROR(__xludf.DUMMYFUNCTION("""COMPUTED_VALUE"""),1.99E8)</f>
        <v>199000000</v>
      </c>
      <c r="G457" s="16" t="str">
        <f>IFERROR(__xludf.DUMMYFUNCTION("""COMPUTED_VALUE"""),"DEF")</f>
        <v>DEF</v>
      </c>
      <c r="H457" s="119">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9">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8">
        <f>IFERROR(__xludf.DUMMYFUNCTION("""COMPUTED_VALUE"""),1.99E8)</f>
        <v>199000000</v>
      </c>
      <c r="G458" s="16" t="str">
        <f>IFERROR(__xludf.DUMMYFUNCTION("""COMPUTED_VALUE"""),"DEF")</f>
        <v>DEF</v>
      </c>
      <c r="H458" s="119">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9">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8">
        <f>IFERROR(__xludf.DUMMYFUNCTION("""COMPUTED_VALUE"""),1.99E8)</f>
        <v>199000000</v>
      </c>
      <c r="G459" s="16" t="str">
        <f>IFERROR(__xludf.DUMMYFUNCTION("""COMPUTED_VALUE"""),"DEF")</f>
        <v>DEF</v>
      </c>
      <c r="H459" s="119">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9">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8">
        <f>IFERROR(__xludf.DUMMYFUNCTION("""COMPUTED_VALUE"""),3.16E7)</f>
        <v>31600000</v>
      </c>
      <c r="G460" s="16" t="str">
        <f>IFERROR(__xludf.DUMMYFUNCTION("""COMPUTED_VALUE"""),"DEF")</f>
        <v>DEF</v>
      </c>
      <c r="H460" s="119">
        <f>IFERROR(__xludf.DUMMYFUNCTION("""COMPUTED_VALUE"""),10000.0)</f>
        <v>10000</v>
      </c>
      <c r="I460" s="16"/>
      <c r="J460" s="16"/>
      <c r="K460" s="16"/>
      <c r="L460" s="16"/>
      <c r="M460" s="16"/>
      <c r="N460" s="16">
        <f>IFERROR(__xludf.DUMMYFUNCTION("""COMPUTED_VALUE"""),10000.0)</f>
        <v>10000</v>
      </c>
      <c r="O460" s="16"/>
      <c r="P460" s="16"/>
      <c r="Q460" s="119">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8">
        <f>IFERROR(__xludf.DUMMYFUNCTION("""COMPUTED_VALUE"""),9460000.0)</f>
        <v>9460000</v>
      </c>
      <c r="G461" s="16" t="str">
        <f>IFERROR(__xludf.DUMMYFUNCTION("""COMPUTED_VALUE"""),"DEF")</f>
        <v>DEF</v>
      </c>
      <c r="H461" s="119">
        <f>IFERROR(__xludf.DUMMYFUNCTION("""COMPUTED_VALUE"""),1000.0)</f>
        <v>1000</v>
      </c>
      <c r="I461" s="16"/>
      <c r="J461" s="16"/>
      <c r="K461" s="16"/>
      <c r="L461" s="16"/>
      <c r="M461" s="16"/>
      <c r="N461" s="16">
        <f>IFERROR(__xludf.DUMMYFUNCTION("""COMPUTED_VALUE"""),10000.0)</f>
        <v>10000</v>
      </c>
      <c r="O461" s="16"/>
      <c r="P461" s="16"/>
      <c r="Q461" s="119">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8">
        <f>IFERROR(__xludf.DUMMYFUNCTION("""COMPUTED_VALUE"""),9.73E7)</f>
        <v>97300000</v>
      </c>
      <c r="G462" s="16" t="str">
        <f>IFERROR(__xludf.DUMMYFUNCTION("""COMPUTED_VALUE"""),"DEF")</f>
        <v>DEF</v>
      </c>
      <c r="H462" s="119">
        <f>IFERROR(__xludf.DUMMYFUNCTION("""COMPUTED_VALUE"""),20000.0)</f>
        <v>20000</v>
      </c>
      <c r="I462" s="16"/>
      <c r="J462" s="16"/>
      <c r="K462" s="16"/>
      <c r="L462" s="16"/>
      <c r="M462" s="16"/>
      <c r="N462" s="16">
        <f>IFERROR(__xludf.DUMMYFUNCTION("""COMPUTED_VALUE"""),20000.0)</f>
        <v>20000</v>
      </c>
      <c r="O462" s="16"/>
      <c r="P462" s="16"/>
      <c r="Q462" s="119">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8">
        <f>IFERROR(__xludf.DUMMYFUNCTION("""COMPUTED_VALUE"""),3.16E7)</f>
        <v>31600000</v>
      </c>
      <c r="G463" s="16" t="str">
        <f>IFERROR(__xludf.DUMMYFUNCTION("""COMPUTED_VALUE"""),"DEF")</f>
        <v>DEF</v>
      </c>
      <c r="H463" s="119">
        <f>IFERROR(__xludf.DUMMYFUNCTION("""COMPUTED_VALUE"""),10000.0)</f>
        <v>10000</v>
      </c>
      <c r="I463" s="16"/>
      <c r="J463" s="16"/>
      <c r="K463" s="16"/>
      <c r="L463" s="16"/>
      <c r="M463" s="16"/>
      <c r="N463" s="16">
        <f>IFERROR(__xludf.DUMMYFUNCTION("""COMPUTED_VALUE"""),10000.0)</f>
        <v>10000</v>
      </c>
      <c r="O463" s="16"/>
      <c r="P463" s="16"/>
      <c r="Q463" s="119">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8">
        <f>IFERROR(__xludf.DUMMYFUNCTION("""COMPUTED_VALUE"""),3.16E7)</f>
        <v>31600000</v>
      </c>
      <c r="G464" s="16" t="str">
        <f>IFERROR(__xludf.DUMMYFUNCTION("""COMPUTED_VALUE"""),"DEF")</f>
        <v>DEF</v>
      </c>
      <c r="H464" s="119">
        <f>IFERROR(__xludf.DUMMYFUNCTION("""COMPUTED_VALUE"""),10000.0)</f>
        <v>10000</v>
      </c>
      <c r="I464" s="16"/>
      <c r="J464" s="16"/>
      <c r="K464" s="16"/>
      <c r="L464" s="16"/>
      <c r="M464" s="16"/>
      <c r="N464" s="16">
        <f>IFERROR(__xludf.DUMMYFUNCTION("""COMPUTED_VALUE"""),10000.0)</f>
        <v>10000</v>
      </c>
      <c r="O464" s="16"/>
      <c r="P464" s="16"/>
      <c r="Q464" s="119">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8">
        <f>IFERROR(__xludf.DUMMYFUNCTION("""COMPUTED_VALUE"""),3.16E7)</f>
        <v>31600000</v>
      </c>
      <c r="G465" s="16" t="str">
        <f>IFERROR(__xludf.DUMMYFUNCTION("""COMPUTED_VALUE"""),"DMG")</f>
        <v>DMG</v>
      </c>
      <c r="H465" s="119">
        <f>IFERROR(__xludf.DUMMYFUNCTION("""COMPUTED_VALUE"""),10000.0)</f>
        <v>10000</v>
      </c>
      <c r="I465" s="16"/>
      <c r="J465" s="16"/>
      <c r="K465" s="16"/>
      <c r="L465" s="16"/>
      <c r="M465" s="16"/>
      <c r="N465" s="16">
        <f>IFERROR(__xludf.DUMMYFUNCTION("""COMPUTED_VALUE"""),10000.0)</f>
        <v>10000</v>
      </c>
      <c r="O465" s="16"/>
      <c r="P465" s="16"/>
      <c r="Q465" s="119">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8">
        <f>IFERROR(__xludf.DUMMYFUNCTION("""COMPUTED_VALUE"""),3.16E7)</f>
        <v>31600000</v>
      </c>
      <c r="G466" s="16" t="str">
        <f>IFERROR(__xludf.DUMMYFUNCTION("""COMPUTED_VALUE"""),"DEF")</f>
        <v>DEF</v>
      </c>
      <c r="H466" s="119">
        <f>IFERROR(__xludf.DUMMYFUNCTION("""COMPUTED_VALUE"""),10000.0)</f>
        <v>10000</v>
      </c>
      <c r="I466" s="16"/>
      <c r="J466" s="16"/>
      <c r="K466" s="16"/>
      <c r="L466" s="16"/>
      <c r="M466" s="16"/>
      <c r="N466" s="16">
        <f>IFERROR(__xludf.DUMMYFUNCTION("""COMPUTED_VALUE"""),10000.0)</f>
        <v>10000</v>
      </c>
      <c r="O466" s="16"/>
      <c r="P466" s="16"/>
      <c r="Q466" s="119">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8">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8">
        <f>IFERROR(__xludf.DUMMYFUNCTION("""COMPUTED_VALUE"""),4350000.0)</f>
        <v>4350000</v>
      </c>
      <c r="G468" s="16" t="str">
        <f>IFERROR(__xludf.DUMMYFUNCTION("""COMPUTED_VALUE"""),"DMG")</f>
        <v>DMG</v>
      </c>
      <c r="H468" s="119">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8">
        <f>IFERROR(__xludf.DUMMYFUNCTION("""COMPUTED_VALUE"""),1.77E7)</f>
        <v>17700000</v>
      </c>
      <c r="G469" s="16" t="str">
        <f>IFERROR(__xludf.DUMMYFUNCTION("""COMPUTED_VALUE"""),"DMG")</f>
        <v>DMG</v>
      </c>
      <c r="H469" s="119">
        <f>IFERROR(__xludf.DUMMYFUNCTION("""COMPUTED_VALUE"""),10000.0)</f>
        <v>10000</v>
      </c>
      <c r="I469" s="119">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9">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8">
        <f>IFERROR(__xludf.DUMMYFUNCTION("""COMPUTED_VALUE"""),4.005E7)</f>
        <v>40050000</v>
      </c>
      <c r="G470" s="16" t="str">
        <f>IFERROR(__xludf.DUMMYFUNCTION("""COMPUTED_VALUE"""),"DMG")</f>
        <v>DMG</v>
      </c>
      <c r="H470" s="119">
        <f>IFERROR(__xludf.DUMMYFUNCTION("""COMPUTED_VALUE"""),15000.0)</f>
        <v>15000</v>
      </c>
      <c r="I470" s="119">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9">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8">
        <f>IFERROR(__xludf.DUMMYFUNCTION("""COMPUTED_VALUE"""),1.7955E8)</f>
        <v>179550000</v>
      </c>
      <c r="G471" s="16" t="str">
        <f>IFERROR(__xludf.DUMMYFUNCTION("""COMPUTED_VALUE"""),"DEF")</f>
        <v>DEF</v>
      </c>
      <c r="H471" s="119">
        <f>IFERROR(__xludf.DUMMYFUNCTION("""COMPUTED_VALUE"""),25000.0)</f>
        <v>25000</v>
      </c>
      <c r="I471" s="16"/>
      <c r="J471" s="16"/>
      <c r="K471" s="16"/>
      <c r="L471" s="16"/>
      <c r="M471" s="16"/>
      <c r="N471" s="16">
        <f>IFERROR(__xludf.DUMMYFUNCTION("""COMPUTED_VALUE"""),25000.0)</f>
        <v>25000</v>
      </c>
      <c r="O471" s="16"/>
      <c r="P471" s="16"/>
      <c r="Q471" s="119">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8">
        <f>IFERROR(__xludf.DUMMYFUNCTION("""COMPUTED_VALUE"""),2.1945E8)</f>
        <v>219450000</v>
      </c>
      <c r="G472" s="16" t="str">
        <f>IFERROR(__xludf.DUMMYFUNCTION("""COMPUTED_VALUE"""),"DEF")</f>
        <v>DEF</v>
      </c>
      <c r="H472" s="119">
        <f>IFERROR(__xludf.DUMMYFUNCTION("""COMPUTED_VALUE"""),25000.0)</f>
        <v>25000</v>
      </c>
      <c r="I472" s="16"/>
      <c r="J472" s="16"/>
      <c r="K472" s="16"/>
      <c r="L472" s="16"/>
      <c r="M472" s="16"/>
      <c r="N472" s="16">
        <f>IFERROR(__xludf.DUMMYFUNCTION("""COMPUTED_VALUE"""),25000.0)</f>
        <v>25000</v>
      </c>
      <c r="O472" s="16"/>
      <c r="P472" s="16"/>
      <c r="Q472" s="119">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8">
        <f>IFERROR(__xludf.DUMMYFUNCTION("""COMPUTED_VALUE"""),1.7955E8)</f>
        <v>179550000</v>
      </c>
      <c r="G473" s="16" t="str">
        <f>IFERROR(__xludf.DUMMYFUNCTION("""COMPUTED_VALUE"""),"DEF")</f>
        <v>DEF</v>
      </c>
      <c r="H473" s="119">
        <f>IFERROR(__xludf.DUMMYFUNCTION("""COMPUTED_VALUE"""),25000.0)</f>
        <v>25000</v>
      </c>
      <c r="I473" s="16"/>
      <c r="J473" s="16"/>
      <c r="K473" s="16"/>
      <c r="L473" s="16"/>
      <c r="M473" s="16"/>
      <c r="N473" s="16">
        <f>IFERROR(__xludf.DUMMYFUNCTION("""COMPUTED_VALUE"""),25000.0)</f>
        <v>25000</v>
      </c>
      <c r="O473" s="16"/>
      <c r="P473" s="16"/>
      <c r="Q473" s="119">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8">
        <f>IFERROR(__xludf.DUMMYFUNCTION("""COMPUTED_VALUE"""),1.7955E8)</f>
        <v>179550000</v>
      </c>
      <c r="G474" s="16" t="str">
        <f>IFERROR(__xludf.DUMMYFUNCTION("""COMPUTED_VALUE"""),"DEF")</f>
        <v>DEF</v>
      </c>
      <c r="H474" s="119">
        <f>IFERROR(__xludf.DUMMYFUNCTION("""COMPUTED_VALUE"""),25000.0)</f>
        <v>25000</v>
      </c>
      <c r="I474" s="16"/>
      <c r="J474" s="16"/>
      <c r="K474" s="16"/>
      <c r="L474" s="16"/>
      <c r="M474" s="16"/>
      <c r="N474" s="16">
        <f>IFERROR(__xludf.DUMMYFUNCTION("""COMPUTED_VALUE"""),25000.0)</f>
        <v>25000</v>
      </c>
      <c r="O474" s="16"/>
      <c r="P474" s="16"/>
      <c r="Q474" s="119">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8">
        <f>IFERROR(__xludf.DUMMYFUNCTION("""COMPUTED_VALUE"""),1.7955E8)</f>
        <v>179550000</v>
      </c>
      <c r="G475" s="16" t="str">
        <f>IFERROR(__xludf.DUMMYFUNCTION("""COMPUTED_VALUE"""),"DEF")</f>
        <v>DEF</v>
      </c>
      <c r="H475" s="119">
        <f>IFERROR(__xludf.DUMMYFUNCTION("""COMPUTED_VALUE"""),25000.0)</f>
        <v>25000</v>
      </c>
      <c r="I475" s="16"/>
      <c r="J475" s="16"/>
      <c r="K475" s="16"/>
      <c r="L475" s="16"/>
      <c r="M475" s="16"/>
      <c r="N475" s="16">
        <f>IFERROR(__xludf.DUMMYFUNCTION("""COMPUTED_VALUE"""),25000.0)</f>
        <v>25000</v>
      </c>
      <c r="O475" s="16"/>
      <c r="P475" s="16"/>
      <c r="Q475" s="119">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8">
        <f>IFERROR(__xludf.DUMMYFUNCTION("""COMPUTED_VALUE"""),1.7955E8)</f>
        <v>179550000</v>
      </c>
      <c r="G476" s="16" t="str">
        <f>IFERROR(__xludf.DUMMYFUNCTION("""COMPUTED_VALUE"""),"DEF")</f>
        <v>DEF</v>
      </c>
      <c r="H476" s="119">
        <f>IFERROR(__xludf.DUMMYFUNCTION("""COMPUTED_VALUE"""),25000.0)</f>
        <v>25000</v>
      </c>
      <c r="I476" s="16"/>
      <c r="J476" s="16"/>
      <c r="K476" s="16"/>
      <c r="L476" s="16"/>
      <c r="M476" s="16"/>
      <c r="N476" s="16">
        <f>IFERROR(__xludf.DUMMYFUNCTION("""COMPUTED_VALUE"""),25000.0)</f>
        <v>25000</v>
      </c>
      <c r="O476" s="16"/>
      <c r="P476" s="16"/>
      <c r="Q476" s="119">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8">
        <f>IFERROR(__xludf.DUMMYFUNCTION("""COMPUTED_VALUE"""),2.409E8)</f>
        <v>240900000</v>
      </c>
      <c r="G477" s="16" t="str">
        <f>IFERROR(__xludf.DUMMYFUNCTION("""COMPUTED_VALUE"""),"DMG")</f>
        <v>DMG</v>
      </c>
      <c r="H477" s="119">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8">
        <f>IFERROR(__xludf.DUMMYFUNCTION("""COMPUTED_VALUE"""),2.409E8)</f>
        <v>240900000</v>
      </c>
      <c r="G478" s="16" t="str">
        <f>IFERROR(__xludf.DUMMYFUNCTION("""COMPUTED_VALUE"""),"DMG")</f>
        <v>DMG</v>
      </c>
      <c r="H478" s="119">
        <f>IFERROR(__xludf.DUMMYFUNCTION("""COMPUTED_VALUE"""),50000.0)</f>
        <v>50000</v>
      </c>
      <c r="I478" s="16"/>
      <c r="J478" s="16"/>
      <c r="K478" s="16"/>
      <c r="L478" s="16"/>
      <c r="M478" s="16"/>
      <c r="N478" s="16"/>
      <c r="O478" s="119">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8">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8">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8">
        <f>IFERROR(__xludf.DUMMYFUNCTION("""COMPUTED_VALUE"""),5.4285E8)</f>
        <v>542850000</v>
      </c>
      <c r="G482" s="16" t="str">
        <f>IFERROR(__xludf.DUMMYFUNCTION("""COMPUTED_VALUE"""),"DMG")</f>
        <v>DMG</v>
      </c>
      <c r="H482" s="119">
        <f>IFERROR(__xludf.DUMMYFUNCTION("""COMPUTED_VALUE"""),25000.0)</f>
        <v>25000</v>
      </c>
      <c r="I482" s="16"/>
      <c r="J482" s="16"/>
      <c r="K482" s="16"/>
      <c r="L482" s="16"/>
      <c r="M482" s="119">
        <f>IFERROR(__xludf.DUMMYFUNCTION("""COMPUTED_VALUE"""),100000.0)</f>
        <v>100000</v>
      </c>
      <c r="N482" s="16"/>
      <c r="O482" s="16"/>
      <c r="P482" s="16"/>
      <c r="Q482" s="16"/>
      <c r="R482" s="16"/>
      <c r="S482" s="119">
        <f>IFERROR(__xludf.DUMMYFUNCTION("""COMPUTED_VALUE"""),15000.0)</f>
        <v>15000</v>
      </c>
      <c r="T482" s="16"/>
      <c r="U482" s="16"/>
      <c r="V482" s="16"/>
      <c r="W482" s="16"/>
      <c r="X482" s="16"/>
      <c r="Y482" s="16"/>
      <c r="Z482" s="16"/>
      <c r="AA482" s="16"/>
      <c r="AB482" s="16"/>
      <c r="AC482" s="119">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8">
        <f>IFERROR(__xludf.DUMMYFUNCTION("""COMPUTED_VALUE"""),1.12425E10)</f>
        <v>11242500000</v>
      </c>
      <c r="G483" s="16" t="str">
        <f>IFERROR(__xludf.DUMMYFUNCTION("""COMPUTED_VALUE"""),"DMG")</f>
        <v>DMG</v>
      </c>
      <c r="H483" s="119">
        <f>IFERROR(__xludf.DUMMYFUNCTION("""COMPUTED_VALUE"""),250000.0)</f>
        <v>250000</v>
      </c>
      <c r="I483" s="16"/>
      <c r="J483" s="16"/>
      <c r="K483" s="16"/>
      <c r="L483" s="16"/>
      <c r="M483" s="16"/>
      <c r="N483" s="16"/>
      <c r="O483" s="16"/>
      <c r="P483" s="16"/>
      <c r="Q483" s="16"/>
      <c r="R483" s="16"/>
      <c r="S483" s="16"/>
      <c r="T483" s="16"/>
      <c r="U483" s="16"/>
      <c r="V483" s="16"/>
      <c r="W483" s="16"/>
      <c r="X483" s="16"/>
      <c r="Y483" s="16"/>
      <c r="Z483" s="119">
        <f>IFERROR(__xludf.DUMMYFUNCTION("""COMPUTED_VALUE"""),250000.0)</f>
        <v>250000</v>
      </c>
      <c r="AA483" s="16"/>
      <c r="AB483" s="16"/>
      <c r="AC483" s="119">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8">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8">
        <f>IFERROR(__xludf.DUMMYFUNCTION("""COMPUTED_VALUE"""),4350000.0)</f>
        <v>4350000</v>
      </c>
      <c r="G485" s="16" t="str">
        <f>IFERROR(__xludf.DUMMYFUNCTION("""COMPUTED_VALUE"""),"DMG")</f>
        <v>DMG</v>
      </c>
      <c r="H485" s="119">
        <f>IFERROR(__xludf.DUMMYFUNCTION("""COMPUTED_VALUE"""),10000.0)</f>
        <v>10000</v>
      </c>
      <c r="I485" s="119">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8">
        <f>IFERROR(__xludf.DUMMYFUNCTION("""COMPUTED_VALUE"""),3.6315E8)</f>
        <v>363150000</v>
      </c>
      <c r="G486" s="16" t="str">
        <f>IFERROR(__xludf.DUMMYFUNCTION("""COMPUTED_VALUE"""),"DEF")</f>
        <v>DEF</v>
      </c>
      <c r="H486" s="119">
        <f>IFERROR(__xludf.DUMMYFUNCTION("""COMPUTED_VALUE"""),50000.0)</f>
        <v>50000</v>
      </c>
      <c r="I486" s="119">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9">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8">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8">
        <f>IFERROR(__xludf.DUMMYFUNCTION("""COMPUTED_VALUE"""),3.6315E8)</f>
        <v>363150000</v>
      </c>
      <c r="G488" s="16" t="str">
        <f>IFERROR(__xludf.DUMMYFUNCTION("""COMPUTED_VALUE"""),"DEF")</f>
        <v>DEF</v>
      </c>
      <c r="H488" s="119">
        <f>IFERROR(__xludf.DUMMYFUNCTION("""COMPUTED_VALUE"""),50000.0)</f>
        <v>50000</v>
      </c>
      <c r="I488" s="119">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9">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8">
        <f>IFERROR(__xludf.DUMMYFUNCTION("""COMPUTED_VALUE"""),3.6315E8)</f>
        <v>363150000</v>
      </c>
      <c r="G489" s="16" t="str">
        <f>IFERROR(__xludf.DUMMYFUNCTION("""COMPUTED_VALUE"""),"DEF")</f>
        <v>DEF</v>
      </c>
      <c r="H489" s="119">
        <f>IFERROR(__xludf.DUMMYFUNCTION("""COMPUTED_VALUE"""),50000.0)</f>
        <v>50000</v>
      </c>
      <c r="I489" s="119">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9">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8">
        <f>IFERROR(__xludf.DUMMYFUNCTION("""COMPUTED_VALUE"""),3.6315E8)</f>
        <v>363150000</v>
      </c>
      <c r="G490" s="16" t="str">
        <f>IFERROR(__xludf.DUMMYFUNCTION("""COMPUTED_VALUE"""),"DEF")</f>
        <v>DEF</v>
      </c>
      <c r="H490" s="119">
        <f>IFERROR(__xludf.DUMMYFUNCTION("""COMPUTED_VALUE"""),50000.0)</f>
        <v>50000</v>
      </c>
      <c r="I490" s="119">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9">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8">
        <f>IFERROR(__xludf.DUMMYFUNCTION("""COMPUTED_VALUE"""),3.6315E8)</f>
        <v>363150000</v>
      </c>
      <c r="G491" s="16" t="str">
        <f>IFERROR(__xludf.DUMMYFUNCTION("""COMPUTED_VALUE"""),"DEF")</f>
        <v>DEF</v>
      </c>
      <c r="H491" s="119">
        <f>IFERROR(__xludf.DUMMYFUNCTION("""COMPUTED_VALUE"""),50000.0)</f>
        <v>50000</v>
      </c>
      <c r="I491" s="119">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9">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8">
        <f>IFERROR(__xludf.DUMMYFUNCTION("""COMPUTED_VALUE"""),1.4553E9)</f>
        <v>1455300000</v>
      </c>
      <c r="G492" s="16" t="str">
        <f>IFERROR(__xludf.DUMMYFUNCTION("""COMPUTED_VALUE"""),"DEF")</f>
        <v>DEF</v>
      </c>
      <c r="H492" s="119">
        <f>IFERROR(__xludf.DUMMYFUNCTION("""COMPUTED_VALUE"""),100000.0)</f>
        <v>100000</v>
      </c>
      <c r="I492" s="119">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9">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8">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8">
        <f>IFERROR(__xludf.DUMMYFUNCTION("""COMPUTED_VALUE"""),1.272E8)</f>
        <v>127200000</v>
      </c>
      <c r="G494" s="16" t="str">
        <f>IFERROR(__xludf.DUMMYFUNCTION("""COMPUTED_VALUE"""),"DEF")</f>
        <v>DEF</v>
      </c>
      <c r="H494" s="119">
        <f>IFERROR(__xludf.DUMMYFUNCTION("""COMPUTED_VALUE"""),20000.0)</f>
        <v>20000</v>
      </c>
      <c r="I494" s="119">
        <f>IFERROR(__xludf.DUMMYFUNCTION("""COMPUTED_VALUE"""),5000.0)</f>
        <v>5000</v>
      </c>
      <c r="J494" s="16"/>
      <c r="K494" s="16"/>
      <c r="L494" s="16"/>
      <c r="M494" s="119">
        <f>IFERROR(__xludf.DUMMYFUNCTION("""COMPUTED_VALUE"""),35000.0)</f>
        <v>35000</v>
      </c>
      <c r="N494" s="16"/>
      <c r="O494" s="16"/>
      <c r="P494" s="16"/>
      <c r="Q494" s="16"/>
      <c r="R494" s="16"/>
      <c r="S494" s="16"/>
      <c r="T494" s="16"/>
      <c r="U494" s="16"/>
      <c r="V494" s="16"/>
      <c r="W494" s="16"/>
      <c r="X494" s="16"/>
      <c r="Y494" s="16"/>
      <c r="Z494" s="16"/>
      <c r="AA494" s="16"/>
      <c r="AB494" s="16"/>
      <c r="AC494" s="119">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8">
        <f>IFERROR(__xludf.DUMMYFUNCTION("""COMPUTED_VALUE"""),1.272E8)</f>
        <v>127200000</v>
      </c>
      <c r="G495" s="16" t="str">
        <f>IFERROR(__xludf.DUMMYFUNCTION("""COMPUTED_VALUE"""),"DEF")</f>
        <v>DEF</v>
      </c>
      <c r="H495" s="119">
        <f>IFERROR(__xludf.DUMMYFUNCTION("""COMPUTED_VALUE"""),20000.0)</f>
        <v>20000</v>
      </c>
      <c r="I495" s="119">
        <f>IFERROR(__xludf.DUMMYFUNCTION("""COMPUTED_VALUE"""),5000.0)</f>
        <v>5000</v>
      </c>
      <c r="J495" s="16"/>
      <c r="K495" s="16"/>
      <c r="L495" s="16"/>
      <c r="M495" s="119">
        <f>IFERROR(__xludf.DUMMYFUNCTION("""COMPUTED_VALUE"""),35000.0)</f>
        <v>35000</v>
      </c>
      <c r="N495" s="16"/>
      <c r="O495" s="16"/>
      <c r="P495" s="16"/>
      <c r="Q495" s="16"/>
      <c r="R495" s="16"/>
      <c r="S495" s="16"/>
      <c r="T495" s="16"/>
      <c r="U495" s="16"/>
      <c r="V495" s="16"/>
      <c r="W495" s="16"/>
      <c r="X495" s="16"/>
      <c r="Y495" s="16"/>
      <c r="Z495" s="16"/>
      <c r="AA495" s="16"/>
      <c r="AB495" s="16"/>
      <c r="AC495" s="119">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8">
        <f>IFERROR(__xludf.DUMMYFUNCTION("""COMPUTED_VALUE"""),7.201E8)</f>
        <v>720100000</v>
      </c>
      <c r="G496" s="16" t="str">
        <f>IFERROR(__xludf.DUMMYFUNCTION("""COMPUTED_VALUE"""),"DEF")</f>
        <v>DEF</v>
      </c>
      <c r="H496" s="119">
        <f>IFERROR(__xludf.DUMMYFUNCTION("""COMPUTED_VALUE"""),50000.0)</f>
        <v>50000</v>
      </c>
      <c r="I496" s="119">
        <f>IFERROR(__xludf.DUMMYFUNCTION("""COMPUTED_VALUE"""),20000.0)</f>
        <v>20000</v>
      </c>
      <c r="J496" s="16"/>
      <c r="K496" s="16"/>
      <c r="L496" s="16"/>
      <c r="M496" s="119">
        <f>IFERROR(__xludf.DUMMYFUNCTION("""COMPUTED_VALUE"""),70000.0)</f>
        <v>70000</v>
      </c>
      <c r="N496" s="16"/>
      <c r="O496" s="16"/>
      <c r="P496" s="16"/>
      <c r="Q496" s="16"/>
      <c r="R496" s="16"/>
      <c r="S496" s="16"/>
      <c r="T496" s="16"/>
      <c r="U496" s="16"/>
      <c r="V496" s="16"/>
      <c r="W496" s="16"/>
      <c r="X496" s="16"/>
      <c r="Y496" s="16"/>
      <c r="Z496" s="16"/>
      <c r="AA496" s="16"/>
      <c r="AB496" s="16"/>
      <c r="AC496" s="119">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8">
        <f>IFERROR(__xludf.DUMMYFUNCTION("""COMPUTED_VALUE"""),1.272E8)</f>
        <v>127200000</v>
      </c>
      <c r="G497" s="16" t="str">
        <f>IFERROR(__xludf.DUMMYFUNCTION("""COMPUTED_VALUE"""),"DEF")</f>
        <v>DEF</v>
      </c>
      <c r="H497" s="119">
        <f>IFERROR(__xludf.DUMMYFUNCTION("""COMPUTED_VALUE"""),20000.0)</f>
        <v>20000</v>
      </c>
      <c r="I497" s="119">
        <f>IFERROR(__xludf.DUMMYFUNCTION("""COMPUTED_VALUE"""),5000.0)</f>
        <v>5000</v>
      </c>
      <c r="J497" s="16"/>
      <c r="K497" s="16"/>
      <c r="L497" s="16"/>
      <c r="M497" s="119">
        <f>IFERROR(__xludf.DUMMYFUNCTION("""COMPUTED_VALUE"""),35000.0)</f>
        <v>35000</v>
      </c>
      <c r="N497" s="16"/>
      <c r="O497" s="16"/>
      <c r="P497" s="16"/>
      <c r="Q497" s="16"/>
      <c r="R497" s="16"/>
      <c r="S497" s="16"/>
      <c r="T497" s="16"/>
      <c r="U497" s="16"/>
      <c r="V497" s="16"/>
      <c r="W497" s="16"/>
      <c r="X497" s="16"/>
      <c r="Y497" s="16"/>
      <c r="Z497" s="16"/>
      <c r="AA497" s="16"/>
      <c r="AB497" s="16"/>
      <c r="AC497" s="119">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8">
        <f>IFERROR(__xludf.DUMMYFUNCTION("""COMPUTED_VALUE"""),1.272E8)</f>
        <v>127200000</v>
      </c>
      <c r="G498" s="16" t="str">
        <f>IFERROR(__xludf.DUMMYFUNCTION("""COMPUTED_VALUE"""),"DEF")</f>
        <v>DEF</v>
      </c>
      <c r="H498" s="119">
        <f>IFERROR(__xludf.DUMMYFUNCTION("""COMPUTED_VALUE"""),20000.0)</f>
        <v>20000</v>
      </c>
      <c r="I498" s="119">
        <f>IFERROR(__xludf.DUMMYFUNCTION("""COMPUTED_VALUE"""),5000.0)</f>
        <v>5000</v>
      </c>
      <c r="J498" s="16"/>
      <c r="K498" s="16"/>
      <c r="L498" s="16"/>
      <c r="M498" s="119">
        <f>IFERROR(__xludf.DUMMYFUNCTION("""COMPUTED_VALUE"""),35000.0)</f>
        <v>35000</v>
      </c>
      <c r="N498" s="16"/>
      <c r="O498" s="16"/>
      <c r="P498" s="16"/>
      <c r="Q498" s="16"/>
      <c r="R498" s="16"/>
      <c r="S498" s="16"/>
      <c r="T498" s="16"/>
      <c r="U498" s="16"/>
      <c r="V498" s="16"/>
      <c r="W498" s="16"/>
      <c r="X498" s="16"/>
      <c r="Y498" s="16"/>
      <c r="Z498" s="16"/>
      <c r="AA498" s="16"/>
      <c r="AB498" s="16"/>
      <c r="AC498" s="119">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8">
        <f>IFERROR(__xludf.DUMMYFUNCTION("""COMPUTED_VALUE"""),1.272E8)</f>
        <v>127200000</v>
      </c>
      <c r="G499" s="16" t="str">
        <f>IFERROR(__xludf.DUMMYFUNCTION("""COMPUTED_VALUE"""),"DEF")</f>
        <v>DEF</v>
      </c>
      <c r="H499" s="119">
        <f>IFERROR(__xludf.DUMMYFUNCTION("""COMPUTED_VALUE"""),20000.0)</f>
        <v>20000</v>
      </c>
      <c r="I499" s="119">
        <f>IFERROR(__xludf.DUMMYFUNCTION("""COMPUTED_VALUE"""),5000.0)</f>
        <v>5000</v>
      </c>
      <c r="J499" s="16"/>
      <c r="K499" s="16"/>
      <c r="L499" s="16"/>
      <c r="M499" s="119">
        <f>IFERROR(__xludf.DUMMYFUNCTION("""COMPUTED_VALUE"""),35000.0)</f>
        <v>35000</v>
      </c>
      <c r="N499" s="16"/>
      <c r="O499" s="16"/>
      <c r="P499" s="16"/>
      <c r="Q499" s="16"/>
      <c r="R499" s="16"/>
      <c r="S499" s="16"/>
      <c r="T499" s="16"/>
      <c r="U499" s="16"/>
      <c r="V499" s="16"/>
      <c r="W499" s="16"/>
      <c r="X499" s="16"/>
      <c r="Y499" s="16"/>
      <c r="Z499" s="16"/>
      <c r="AA499" s="16"/>
      <c r="AB499" s="16"/>
      <c r="AC499" s="119">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8">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8">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8">
        <f>IFERROR(__xludf.DUMMYFUNCTION("""COMPUTED_VALUE"""),1.2475E9)</f>
        <v>1247500000</v>
      </c>
      <c r="G502" s="16" t="str">
        <f>IFERROR(__xludf.DUMMYFUNCTION("""COMPUTED_VALUE"""),"DMG")</f>
        <v>DMG</v>
      </c>
      <c r="H502" s="119">
        <f>IFERROR(__xludf.DUMMYFUNCTION("""COMPUTED_VALUE"""),100000.0)</f>
        <v>100000</v>
      </c>
      <c r="I502" s="119">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9">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8">
        <f>IFERROR(__xludf.DUMMYFUNCTION("""COMPUTED_VALUE"""),1.2475E9)</f>
        <v>1247500000</v>
      </c>
      <c r="G503" s="16" t="str">
        <f>IFERROR(__xludf.DUMMYFUNCTION("""COMPUTED_VALUE"""),"DMG")</f>
        <v>DMG</v>
      </c>
      <c r="H503" s="119">
        <f>IFERROR(__xludf.DUMMYFUNCTION("""COMPUTED_VALUE"""),100000.0)</f>
        <v>100000</v>
      </c>
      <c r="I503" s="119">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9">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8">
        <f>IFERROR(__xludf.DUMMYFUNCTION("""COMPUTED_VALUE"""),7.98E8)</f>
        <v>798000000</v>
      </c>
      <c r="G504" s="16" t="str">
        <f>IFERROR(__xludf.DUMMYFUNCTION("""COMPUTED_VALUE"""),"DEF")</f>
        <v>DEF</v>
      </c>
      <c r="H504" s="119">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8">
        <f>IFERROR(__xludf.DUMMYFUNCTION("""COMPUTED_VALUE"""),7.98E8)</f>
        <v>798000000</v>
      </c>
      <c r="G505" s="16" t="str">
        <f>IFERROR(__xludf.DUMMYFUNCTION("""COMPUTED_VALUE"""),"DEF")</f>
        <v>DEF</v>
      </c>
      <c r="H505" s="119">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8">
        <f>IFERROR(__xludf.DUMMYFUNCTION("""COMPUTED_VALUE"""),7.98E8)</f>
        <v>798000000</v>
      </c>
      <c r="G506" s="16" t="str">
        <f>IFERROR(__xludf.DUMMYFUNCTION("""COMPUTED_VALUE"""),"DEF")</f>
        <v>DEF</v>
      </c>
      <c r="H506" s="119">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8">
        <f>IFERROR(__xludf.DUMMYFUNCTION("""COMPUTED_VALUE"""),7.98E8)</f>
        <v>798000000</v>
      </c>
      <c r="G507" s="16" t="str">
        <f>IFERROR(__xludf.DUMMYFUNCTION("""COMPUTED_VALUE"""),"DEF")</f>
        <v>DEF</v>
      </c>
      <c r="H507" s="119">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8">
        <f>IFERROR(__xludf.DUMMYFUNCTION("""COMPUTED_VALUE"""),7.98E8)</f>
        <v>798000000</v>
      </c>
      <c r="G508" s="16" t="str">
        <f>IFERROR(__xludf.DUMMYFUNCTION("""COMPUTED_VALUE"""),"DEF")</f>
        <v>DEF</v>
      </c>
      <c r="H508" s="119">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8">
        <f>IFERROR(__xludf.DUMMYFUNCTION("""COMPUTED_VALUE"""),7.98E8)</f>
        <v>798000000</v>
      </c>
      <c r="G509" s="16" t="str">
        <f>IFERROR(__xludf.DUMMYFUNCTION("""COMPUTED_VALUE"""),"DEF")</f>
        <v>DEF</v>
      </c>
      <c r="H509" s="119">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8">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8">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8">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8">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8">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8">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8">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8">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8">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8">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8">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8">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8">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8">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8">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8">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8">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8">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8">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8">
        <f>IFERROR(__xludf.DUMMYFUNCTION("""COMPUTED_VALUE"""),8.385E7)</f>
        <v>83850000</v>
      </c>
      <c r="G529" s="16" t="str">
        <f>IFERROR(__xludf.DUMMYFUNCTION("""COMPUTED_VALUE"""),"DMG")</f>
        <v>DMG</v>
      </c>
      <c r="H529" s="119">
        <f>IFERROR(__xludf.DUMMYFUNCTION("""COMPUTED_VALUE"""),20000.0)</f>
        <v>20000</v>
      </c>
      <c r="I529" s="16"/>
      <c r="J529" s="16"/>
      <c r="K529" s="16"/>
      <c r="L529" s="16"/>
      <c r="M529" s="16"/>
      <c r="N529" s="16"/>
      <c r="O529" s="16"/>
      <c r="P529" s="16"/>
      <c r="Q529" s="16"/>
      <c r="R529" s="119">
        <f>IFERROR(__xludf.DUMMYFUNCTION("""COMPUTED_VALUE"""),20000.0)</f>
        <v>20000</v>
      </c>
      <c r="S529" s="119">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8">
        <f>IFERROR(__xludf.DUMMYFUNCTION("""COMPUTED_VALUE"""),3.1125E8)</f>
        <v>311250000</v>
      </c>
      <c r="G530" s="16" t="str">
        <f>IFERROR(__xludf.DUMMYFUNCTION("""COMPUTED_VALUE"""),"DEF")</f>
        <v>DEF</v>
      </c>
      <c r="H530" s="119">
        <f>IFERROR(__xludf.DUMMYFUNCTION("""COMPUTED_VALUE"""),50000.0)</f>
        <v>50000</v>
      </c>
      <c r="I530" s="16"/>
      <c r="J530" s="16"/>
      <c r="K530" s="119">
        <f>IFERROR(__xludf.DUMMYFUNCTION("""COMPUTED_VALUE"""),25000.0)</f>
        <v>25000</v>
      </c>
      <c r="L530" s="16"/>
      <c r="M530" s="16"/>
      <c r="N530" s="16"/>
      <c r="O530" s="16"/>
      <c r="P530" s="16"/>
      <c r="Q530" s="119">
        <f>IFERROR(__xludf.DUMMYFUNCTION("""COMPUTED_VALUE"""),25000.0)</f>
        <v>25000</v>
      </c>
      <c r="R530" s="16"/>
      <c r="S530" s="16"/>
      <c r="T530" s="16"/>
      <c r="U530" s="16"/>
      <c r="V530" s="16"/>
      <c r="W530" s="16"/>
      <c r="X530" s="16"/>
      <c r="Y530" s="16"/>
      <c r="Z530" s="16"/>
      <c r="AA530" s="16"/>
      <c r="AB530" s="16"/>
      <c r="AC530" s="119">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8">
        <f>IFERROR(__xludf.DUMMYFUNCTION("""COMPUTED_VALUE"""),4.95E7)</f>
        <v>49500000</v>
      </c>
      <c r="G531" s="16" t="str">
        <f>IFERROR(__xludf.DUMMYFUNCTION("""COMPUTED_VALUE"""),"DEF")</f>
        <v>DEF</v>
      </c>
      <c r="H531" s="119">
        <f>IFERROR(__xludf.DUMMYFUNCTION("""COMPUTED_VALUE"""),20000.0)</f>
        <v>20000</v>
      </c>
      <c r="I531" s="16"/>
      <c r="J531" s="16"/>
      <c r="K531" s="119">
        <f>IFERROR(__xludf.DUMMYFUNCTION("""COMPUTED_VALUE"""),10000.0)</f>
        <v>10000</v>
      </c>
      <c r="L531" s="16"/>
      <c r="M531" s="16"/>
      <c r="N531" s="16"/>
      <c r="O531" s="16"/>
      <c r="P531" s="16"/>
      <c r="Q531" s="119">
        <f>IFERROR(__xludf.DUMMYFUNCTION("""COMPUTED_VALUE"""),10000.0)</f>
        <v>10000</v>
      </c>
      <c r="R531" s="16"/>
      <c r="S531" s="16"/>
      <c r="T531" s="16"/>
      <c r="U531" s="16"/>
      <c r="V531" s="16"/>
      <c r="W531" s="16"/>
      <c r="X531" s="16"/>
      <c r="Y531" s="16"/>
      <c r="Z531" s="16"/>
      <c r="AA531" s="16"/>
      <c r="AB531" s="16"/>
      <c r="AC531" s="119">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8">
        <f>IFERROR(__xludf.DUMMYFUNCTION("""COMPUTED_VALUE"""),4.95E7)</f>
        <v>49500000</v>
      </c>
      <c r="G532" s="16" t="str">
        <f>IFERROR(__xludf.DUMMYFUNCTION("""COMPUTED_VALUE"""),"DEF")</f>
        <v>DEF</v>
      </c>
      <c r="H532" s="119">
        <f>IFERROR(__xludf.DUMMYFUNCTION("""COMPUTED_VALUE"""),20000.0)</f>
        <v>20000</v>
      </c>
      <c r="I532" s="16"/>
      <c r="J532" s="16"/>
      <c r="K532" s="119">
        <f>IFERROR(__xludf.DUMMYFUNCTION("""COMPUTED_VALUE"""),10000.0)</f>
        <v>10000</v>
      </c>
      <c r="L532" s="16"/>
      <c r="M532" s="16"/>
      <c r="N532" s="16"/>
      <c r="O532" s="16"/>
      <c r="P532" s="16"/>
      <c r="Q532" s="119">
        <f>IFERROR(__xludf.DUMMYFUNCTION("""COMPUTED_VALUE"""),10000.0)</f>
        <v>10000</v>
      </c>
      <c r="R532" s="16"/>
      <c r="S532" s="16"/>
      <c r="T532" s="16"/>
      <c r="U532" s="16"/>
      <c r="V532" s="16"/>
      <c r="W532" s="16"/>
      <c r="X532" s="16"/>
      <c r="Y532" s="16"/>
      <c r="Z532" s="16"/>
      <c r="AA532" s="16"/>
      <c r="AB532" s="16"/>
      <c r="AC532" s="119">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8">
        <f>IFERROR(__xludf.DUMMYFUNCTION("""COMPUTED_VALUE"""),4.95E7)</f>
        <v>49500000</v>
      </c>
      <c r="G533" s="16" t="str">
        <f>IFERROR(__xludf.DUMMYFUNCTION("""COMPUTED_VALUE"""),"DEF")</f>
        <v>DEF</v>
      </c>
      <c r="H533" s="119">
        <f>IFERROR(__xludf.DUMMYFUNCTION("""COMPUTED_VALUE"""),20000.0)</f>
        <v>20000</v>
      </c>
      <c r="I533" s="16"/>
      <c r="J533" s="16"/>
      <c r="K533" s="119">
        <f>IFERROR(__xludf.DUMMYFUNCTION("""COMPUTED_VALUE"""),10000.0)</f>
        <v>10000</v>
      </c>
      <c r="L533" s="16"/>
      <c r="M533" s="16"/>
      <c r="N533" s="16"/>
      <c r="O533" s="16"/>
      <c r="P533" s="16"/>
      <c r="Q533" s="119">
        <f>IFERROR(__xludf.DUMMYFUNCTION("""COMPUTED_VALUE"""),10000.0)</f>
        <v>10000</v>
      </c>
      <c r="R533" s="16"/>
      <c r="S533" s="16"/>
      <c r="T533" s="16"/>
      <c r="U533" s="16"/>
      <c r="V533" s="16"/>
      <c r="W533" s="16"/>
      <c r="X533" s="16"/>
      <c r="Y533" s="16"/>
      <c r="Z533" s="16"/>
      <c r="AA533" s="16"/>
      <c r="AB533" s="16"/>
      <c r="AC533" s="119">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8">
        <f>IFERROR(__xludf.DUMMYFUNCTION("""COMPUTED_VALUE"""),1.1175E8)</f>
        <v>111750000</v>
      </c>
      <c r="G534" s="16" t="str">
        <f>IFERROR(__xludf.DUMMYFUNCTION("""COMPUTED_VALUE"""),"DEF")</f>
        <v>DEF</v>
      </c>
      <c r="H534" s="119">
        <f>IFERROR(__xludf.DUMMYFUNCTION("""COMPUTED_VALUE"""),30000.0)</f>
        <v>30000</v>
      </c>
      <c r="I534" s="16"/>
      <c r="J534" s="16"/>
      <c r="K534" s="119">
        <f>IFERROR(__xludf.DUMMYFUNCTION("""COMPUTED_VALUE"""),15000.0)</f>
        <v>15000</v>
      </c>
      <c r="L534" s="16"/>
      <c r="M534" s="16"/>
      <c r="N534" s="16"/>
      <c r="O534" s="16"/>
      <c r="P534" s="16"/>
      <c r="Q534" s="119">
        <f>IFERROR(__xludf.DUMMYFUNCTION("""COMPUTED_VALUE"""),15000.0)</f>
        <v>15000</v>
      </c>
      <c r="R534" s="16"/>
      <c r="S534" s="16"/>
      <c r="T534" s="16"/>
      <c r="U534" s="16"/>
      <c r="V534" s="16"/>
      <c r="W534" s="16"/>
      <c r="X534" s="16"/>
      <c r="Y534" s="16"/>
      <c r="Z534" s="16"/>
      <c r="AA534" s="16"/>
      <c r="AB534" s="16"/>
      <c r="AC534" s="119">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8">
        <f>IFERROR(__xludf.DUMMYFUNCTION("""COMPUTED_VALUE"""),4.95E7)</f>
        <v>49500000</v>
      </c>
      <c r="G535" s="16" t="str">
        <f>IFERROR(__xludf.DUMMYFUNCTION("""COMPUTED_VALUE"""),"DEF")</f>
        <v>DEF</v>
      </c>
      <c r="H535" s="119">
        <f>IFERROR(__xludf.DUMMYFUNCTION("""COMPUTED_VALUE"""),20000.0)</f>
        <v>20000</v>
      </c>
      <c r="I535" s="16"/>
      <c r="J535" s="16"/>
      <c r="K535" s="119">
        <f>IFERROR(__xludf.DUMMYFUNCTION("""COMPUTED_VALUE"""),10000.0)</f>
        <v>10000</v>
      </c>
      <c r="L535" s="16"/>
      <c r="M535" s="16"/>
      <c r="N535" s="16"/>
      <c r="O535" s="16"/>
      <c r="P535" s="16"/>
      <c r="Q535" s="119">
        <f>IFERROR(__xludf.DUMMYFUNCTION("""COMPUTED_VALUE"""),10000.0)</f>
        <v>10000</v>
      </c>
      <c r="R535" s="16"/>
      <c r="S535" s="16"/>
      <c r="T535" s="16"/>
      <c r="U535" s="16"/>
      <c r="V535" s="16"/>
      <c r="W535" s="16"/>
      <c r="X535" s="16"/>
      <c r="Y535" s="16"/>
      <c r="Z535" s="16"/>
      <c r="AA535" s="16"/>
      <c r="AB535" s="16"/>
      <c r="AC535" s="119">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8">
        <f>IFERROR(__xludf.DUMMYFUNCTION("""COMPUTED_VALUE"""),4.95E7)</f>
        <v>49500000</v>
      </c>
      <c r="G536" s="16" t="str">
        <f>IFERROR(__xludf.DUMMYFUNCTION("""COMPUTED_VALUE"""),"DEF")</f>
        <v>DEF</v>
      </c>
      <c r="H536" s="119">
        <f>IFERROR(__xludf.DUMMYFUNCTION("""COMPUTED_VALUE"""),20000.0)</f>
        <v>20000</v>
      </c>
      <c r="I536" s="16"/>
      <c r="J536" s="16"/>
      <c r="K536" s="119">
        <f>IFERROR(__xludf.DUMMYFUNCTION("""COMPUTED_VALUE"""),10000.0)</f>
        <v>10000</v>
      </c>
      <c r="L536" s="16"/>
      <c r="M536" s="16"/>
      <c r="N536" s="16"/>
      <c r="O536" s="16"/>
      <c r="P536" s="16"/>
      <c r="Q536" s="119">
        <f>IFERROR(__xludf.DUMMYFUNCTION("""COMPUTED_VALUE"""),10000.0)</f>
        <v>10000</v>
      </c>
      <c r="R536" s="16"/>
      <c r="S536" s="16"/>
      <c r="T536" s="16"/>
      <c r="U536" s="16"/>
      <c r="V536" s="16"/>
      <c r="W536" s="16"/>
      <c r="X536" s="16"/>
      <c r="Y536" s="16"/>
      <c r="Z536" s="16"/>
      <c r="AA536" s="16"/>
      <c r="AB536" s="16"/>
      <c r="AC536" s="119">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8">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8">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8">
        <f>IFERROR(__xludf.DUMMYFUNCTION("""COMPUTED_VALUE"""),1.99E8)</f>
        <v>199000000</v>
      </c>
      <c r="G539" s="16" t="str">
        <f>IFERROR(__xludf.DUMMYFUNCTION("""COMPUTED_VALUE"""),"DEF")</f>
        <v>DEF</v>
      </c>
      <c r="H539" s="119">
        <f>IFERROR(__xludf.DUMMYFUNCTION("""COMPUTED_VALUE"""),50000.0)</f>
        <v>50000</v>
      </c>
      <c r="I539" s="16"/>
      <c r="J539" s="16"/>
      <c r="K539" s="119">
        <f>IFERROR(__xludf.DUMMYFUNCTION("""COMPUTED_VALUE"""),25000.0)</f>
        <v>25000</v>
      </c>
      <c r="L539" s="16"/>
      <c r="M539" s="16"/>
      <c r="N539" s="16"/>
      <c r="O539" s="16"/>
      <c r="P539" s="16"/>
      <c r="Q539" s="119">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8">
        <f>IFERROR(__xludf.DUMMYFUNCTION("""COMPUTED_VALUE"""),7.194E9)</f>
        <v>7194000000</v>
      </c>
      <c r="G540" s="16" t="str">
        <f>IFERROR(__xludf.DUMMYFUNCTION("""COMPUTED_VALUE"""),"DMG")</f>
        <v>DMG</v>
      </c>
      <c r="H540" s="119">
        <f>IFERROR(__xludf.DUMMYFUNCTION("""COMPUTED_VALUE"""),200000.0)</f>
        <v>200000</v>
      </c>
      <c r="I540" s="16"/>
      <c r="J540" s="16"/>
      <c r="K540" s="16"/>
      <c r="L540" s="16"/>
      <c r="M540" s="16"/>
      <c r="N540" s="16"/>
      <c r="O540" s="16"/>
      <c r="P540" s="16"/>
      <c r="Q540" s="16"/>
      <c r="R540" s="119">
        <f>IFERROR(__xludf.DUMMYFUNCTION("""COMPUTED_VALUE"""),200000.0)</f>
        <v>200000</v>
      </c>
      <c r="S540" s="119">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8">
        <f>IFERROR(__xludf.DUMMYFUNCTION("""COMPUTED_VALUE"""),1.797E9)</f>
        <v>1797000000</v>
      </c>
      <c r="G541" s="16" t="str">
        <f>IFERROR(__xludf.DUMMYFUNCTION("""COMPUTED_VALUE"""),"DEF")</f>
        <v>DEF</v>
      </c>
      <c r="H541" s="119">
        <f>IFERROR(__xludf.DUMMYFUNCTION("""COMPUTED_VALUE"""),150000.0)</f>
        <v>150000</v>
      </c>
      <c r="I541" s="16"/>
      <c r="J541" s="16"/>
      <c r="K541" s="119">
        <f>IFERROR(__xludf.DUMMYFUNCTION("""COMPUTED_VALUE"""),75000.0)</f>
        <v>75000</v>
      </c>
      <c r="L541" s="16"/>
      <c r="M541" s="16"/>
      <c r="N541" s="16"/>
      <c r="O541" s="16"/>
      <c r="P541" s="16"/>
      <c r="Q541" s="119">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8">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8">
        <f>IFERROR(__xludf.DUMMYFUNCTION("""COMPUTED_VALUE"""),7.98E8)</f>
        <v>798000000</v>
      </c>
      <c r="G543" s="16" t="str">
        <f>IFERROR(__xludf.DUMMYFUNCTION("""COMPUTED_VALUE"""),"DEF")</f>
        <v>DEF</v>
      </c>
      <c r="H543" s="119">
        <f>IFERROR(__xludf.DUMMYFUNCTION("""COMPUTED_VALUE"""),100000.0)</f>
        <v>100000</v>
      </c>
      <c r="I543" s="16"/>
      <c r="J543" s="16"/>
      <c r="K543" s="119">
        <f>IFERROR(__xludf.DUMMYFUNCTION("""COMPUTED_VALUE"""),50000.0)</f>
        <v>50000</v>
      </c>
      <c r="L543" s="16"/>
      <c r="M543" s="16"/>
      <c r="N543" s="16"/>
      <c r="O543" s="16"/>
      <c r="P543" s="16"/>
      <c r="Q543" s="119">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8">
        <f>IFERROR(__xludf.DUMMYFUNCTION("""COMPUTED_VALUE"""),1.99E8)</f>
        <v>199000000</v>
      </c>
      <c r="G544" s="16" t="str">
        <f>IFERROR(__xludf.DUMMYFUNCTION("""COMPUTED_VALUE"""),"DEF")</f>
        <v>DEF</v>
      </c>
      <c r="H544" s="119">
        <f>IFERROR(__xludf.DUMMYFUNCTION("""COMPUTED_VALUE"""),50000.0)</f>
        <v>50000</v>
      </c>
      <c r="I544" s="16"/>
      <c r="J544" s="16"/>
      <c r="K544" s="119">
        <f>IFERROR(__xludf.DUMMYFUNCTION("""COMPUTED_VALUE"""),25000.0)</f>
        <v>25000</v>
      </c>
      <c r="L544" s="16"/>
      <c r="M544" s="16"/>
      <c r="N544" s="16"/>
      <c r="O544" s="16"/>
      <c r="P544" s="16"/>
      <c r="Q544" s="119">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8">
        <f>IFERROR(__xludf.DUMMYFUNCTION("""COMPUTED_VALUE"""),1.99E8)</f>
        <v>199000000</v>
      </c>
      <c r="G545" s="16" t="str">
        <f>IFERROR(__xludf.DUMMYFUNCTION("""COMPUTED_VALUE"""),"DEF")</f>
        <v>DEF</v>
      </c>
      <c r="H545" s="119">
        <f>IFERROR(__xludf.DUMMYFUNCTION("""COMPUTED_VALUE"""),50000.0)</f>
        <v>50000</v>
      </c>
      <c r="I545" s="16"/>
      <c r="J545" s="16"/>
      <c r="K545" s="119">
        <f>IFERROR(__xludf.DUMMYFUNCTION("""COMPUTED_VALUE"""),25000.0)</f>
        <v>25000</v>
      </c>
      <c r="L545" s="16"/>
      <c r="M545" s="16"/>
      <c r="N545" s="16"/>
      <c r="O545" s="16"/>
      <c r="P545" s="16"/>
      <c r="Q545" s="119">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8">
        <f>IFERROR(__xludf.DUMMYFUNCTION("""COMPUTED_VALUE"""),1.99E8)</f>
        <v>199000000</v>
      </c>
      <c r="G546" s="16" t="str">
        <f>IFERROR(__xludf.DUMMYFUNCTION("""COMPUTED_VALUE"""),"DEF")</f>
        <v>DEF</v>
      </c>
      <c r="H546" s="119">
        <f>IFERROR(__xludf.DUMMYFUNCTION("""COMPUTED_VALUE"""),50000.0)</f>
        <v>50000</v>
      </c>
      <c r="I546" s="16"/>
      <c r="J546" s="16"/>
      <c r="K546" s="119">
        <f>IFERROR(__xludf.DUMMYFUNCTION("""COMPUTED_VALUE"""),25000.0)</f>
        <v>25000</v>
      </c>
      <c r="L546" s="16"/>
      <c r="M546" s="16"/>
      <c r="N546" s="16"/>
      <c r="O546" s="16"/>
      <c r="P546" s="16"/>
      <c r="Q546" s="119">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8">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8">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8">
        <f>IFERROR(__xludf.DUMMYFUNCTION("""COMPUTED_VALUE"""),1.1175E8)</f>
        <v>111750000</v>
      </c>
      <c r="G549" s="16" t="str">
        <f>IFERROR(__xludf.DUMMYFUNCTION("""COMPUTED_VALUE"""),"DEF")</f>
        <v>DEF</v>
      </c>
      <c r="H549" s="119">
        <f>IFERROR(__xludf.DUMMYFUNCTION("""COMPUTED_VALUE"""),25000.0)</f>
        <v>25000</v>
      </c>
      <c r="I549" s="119">
        <f>IFERROR(__xludf.DUMMYFUNCTION("""COMPUTED_VALUE"""),10000.0)</f>
        <v>10000</v>
      </c>
      <c r="J549" s="16"/>
      <c r="K549" s="119">
        <f>IFERROR(__xludf.DUMMYFUNCTION("""COMPUTED_VALUE"""),5000.0)</f>
        <v>5000</v>
      </c>
      <c r="L549" s="16"/>
      <c r="M549" s="16"/>
      <c r="N549" s="16"/>
      <c r="O549" s="16"/>
      <c r="P549" s="16"/>
      <c r="Q549" s="16"/>
      <c r="R549" s="16"/>
      <c r="S549" s="119">
        <f>IFERROR(__xludf.DUMMYFUNCTION("""COMPUTED_VALUE"""),25000.0)</f>
        <v>25000</v>
      </c>
      <c r="T549" s="16"/>
      <c r="U549" s="16"/>
      <c r="V549" s="16"/>
      <c r="W549" s="16"/>
      <c r="X549" s="16"/>
      <c r="Y549" s="16"/>
      <c r="Z549" s="16"/>
      <c r="AA549" s="16"/>
      <c r="AB549" s="16"/>
      <c r="AC549" s="119">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8">
        <f>IFERROR(__xludf.DUMMYFUNCTION("""COMPUTED_VALUE"""),1.1175E8)</f>
        <v>111750000</v>
      </c>
      <c r="G550" s="16" t="str">
        <f>IFERROR(__xludf.DUMMYFUNCTION("""COMPUTED_VALUE"""),"DEF")</f>
        <v>DEF</v>
      </c>
      <c r="H550" s="119">
        <f>IFERROR(__xludf.DUMMYFUNCTION("""COMPUTED_VALUE"""),25000.0)</f>
        <v>25000</v>
      </c>
      <c r="I550" s="119">
        <f>IFERROR(__xludf.DUMMYFUNCTION("""COMPUTED_VALUE"""),10000.0)</f>
        <v>10000</v>
      </c>
      <c r="J550" s="16"/>
      <c r="K550" s="119">
        <f>IFERROR(__xludf.DUMMYFUNCTION("""COMPUTED_VALUE"""),5000.0)</f>
        <v>5000</v>
      </c>
      <c r="L550" s="16"/>
      <c r="M550" s="16"/>
      <c r="N550" s="16"/>
      <c r="O550" s="16"/>
      <c r="P550" s="16"/>
      <c r="Q550" s="16"/>
      <c r="R550" s="16"/>
      <c r="S550" s="119">
        <f>IFERROR(__xludf.DUMMYFUNCTION("""COMPUTED_VALUE"""),25000.0)</f>
        <v>25000</v>
      </c>
      <c r="T550" s="16"/>
      <c r="U550" s="16"/>
      <c r="V550" s="16"/>
      <c r="W550" s="16"/>
      <c r="X550" s="16"/>
      <c r="Y550" s="16"/>
      <c r="Z550" s="16"/>
      <c r="AA550" s="16"/>
      <c r="AB550" s="16"/>
      <c r="AC550" s="119">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8">
        <f>IFERROR(__xludf.DUMMYFUNCTION("""COMPUTED_VALUE"""),1.99E8)</f>
        <v>199000000</v>
      </c>
      <c r="G551" s="16" t="str">
        <f>IFERROR(__xludf.DUMMYFUNCTION("""COMPUTED_VALUE"""),"DEF")</f>
        <v>DEF</v>
      </c>
      <c r="H551" s="119">
        <f>IFERROR(__xludf.DUMMYFUNCTION("""COMPUTED_VALUE"""),35000.0)</f>
        <v>35000</v>
      </c>
      <c r="I551" s="119">
        <f>IFERROR(__xludf.DUMMYFUNCTION("""COMPUTED_VALUE"""),15000.0)</f>
        <v>15000</v>
      </c>
      <c r="J551" s="16"/>
      <c r="K551" s="119">
        <f>IFERROR(__xludf.DUMMYFUNCTION("""COMPUTED_VALUE"""),5000.0)</f>
        <v>5000</v>
      </c>
      <c r="L551" s="16"/>
      <c r="M551" s="16"/>
      <c r="N551" s="16"/>
      <c r="O551" s="16"/>
      <c r="P551" s="16"/>
      <c r="Q551" s="16"/>
      <c r="R551" s="16"/>
      <c r="S551" s="119">
        <f>IFERROR(__xludf.DUMMYFUNCTION("""COMPUTED_VALUE"""),30000.0)</f>
        <v>30000</v>
      </c>
      <c r="T551" s="16"/>
      <c r="U551" s="16"/>
      <c r="V551" s="16"/>
      <c r="W551" s="16"/>
      <c r="X551" s="16"/>
      <c r="Y551" s="16"/>
      <c r="Z551" s="16"/>
      <c r="AA551" s="16"/>
      <c r="AB551" s="16"/>
      <c r="AC551" s="119">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8">
        <f>IFERROR(__xludf.DUMMYFUNCTION("""COMPUTED_VALUE"""),1.1175E8)</f>
        <v>111750000</v>
      </c>
      <c r="G552" s="16" t="str">
        <f>IFERROR(__xludf.DUMMYFUNCTION("""COMPUTED_VALUE"""),"DEF")</f>
        <v>DEF</v>
      </c>
      <c r="H552" s="119">
        <f>IFERROR(__xludf.DUMMYFUNCTION("""COMPUTED_VALUE"""),25000.0)</f>
        <v>25000</v>
      </c>
      <c r="I552" s="119">
        <f>IFERROR(__xludf.DUMMYFUNCTION("""COMPUTED_VALUE"""),10000.0)</f>
        <v>10000</v>
      </c>
      <c r="J552" s="16"/>
      <c r="K552" s="119">
        <f>IFERROR(__xludf.DUMMYFUNCTION("""COMPUTED_VALUE"""),5000.0)</f>
        <v>5000</v>
      </c>
      <c r="L552" s="16"/>
      <c r="M552" s="16"/>
      <c r="N552" s="16"/>
      <c r="O552" s="16"/>
      <c r="P552" s="16"/>
      <c r="Q552" s="16"/>
      <c r="R552" s="16"/>
      <c r="S552" s="119">
        <f>IFERROR(__xludf.DUMMYFUNCTION("""COMPUTED_VALUE"""),25000.0)</f>
        <v>25000</v>
      </c>
      <c r="T552" s="16"/>
      <c r="U552" s="16"/>
      <c r="V552" s="16"/>
      <c r="W552" s="16"/>
      <c r="X552" s="16"/>
      <c r="Y552" s="16"/>
      <c r="Z552" s="16"/>
      <c r="AA552" s="16"/>
      <c r="AB552" s="16"/>
      <c r="AC552" s="119">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8">
        <f>IFERROR(__xludf.DUMMYFUNCTION("""COMPUTED_VALUE"""),1.99E8)</f>
        <v>199000000</v>
      </c>
      <c r="G553" s="16" t="str">
        <f>IFERROR(__xludf.DUMMYFUNCTION("""COMPUTED_VALUE"""),"DMG")</f>
        <v>DMG</v>
      </c>
      <c r="H553" s="119">
        <f>IFERROR(__xludf.DUMMYFUNCTION("""COMPUTED_VALUE"""),50000.0)</f>
        <v>50000</v>
      </c>
      <c r="I553" s="119">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9">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8">
        <f>IFERROR(__xludf.DUMMYFUNCTION("""COMPUTED_VALUE"""),5.4285E8)</f>
        <v>542850000</v>
      </c>
      <c r="G554" s="16" t="str">
        <f>IFERROR(__xludf.DUMMYFUNCTION("""COMPUTED_VALUE"""),"DEF")</f>
        <v>DEF</v>
      </c>
      <c r="H554" s="119">
        <f>IFERROR(__xludf.DUMMYFUNCTION("""COMPUTED_VALUE"""),50000.0)</f>
        <v>50000</v>
      </c>
      <c r="I554" s="119">
        <f>IFERROR(__xludf.DUMMYFUNCTION("""COMPUTED_VALUE"""),25000.0)</f>
        <v>25000</v>
      </c>
      <c r="J554" s="16"/>
      <c r="K554" s="119">
        <f>IFERROR(__xludf.DUMMYFUNCTION("""COMPUTED_VALUE"""),15000.0)</f>
        <v>15000</v>
      </c>
      <c r="L554" s="16"/>
      <c r="M554" s="16"/>
      <c r="N554" s="16"/>
      <c r="O554" s="16"/>
      <c r="P554" s="16"/>
      <c r="Q554" s="16"/>
      <c r="R554" s="16"/>
      <c r="S554" s="119">
        <f>IFERROR(__xludf.DUMMYFUNCTION("""COMPUTED_VALUE"""),50000.0)</f>
        <v>50000</v>
      </c>
      <c r="T554" s="16"/>
      <c r="U554" s="16"/>
      <c r="V554" s="16"/>
      <c r="W554" s="16"/>
      <c r="X554" s="16"/>
      <c r="Y554" s="16"/>
      <c r="Z554" s="16"/>
      <c r="AA554" s="16"/>
      <c r="AB554" s="16"/>
      <c r="AC554" s="119">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8">
        <f>IFERROR(__xludf.DUMMYFUNCTION("""COMPUTED_VALUE"""),1.1175E8)</f>
        <v>111750000</v>
      </c>
      <c r="G555" s="16" t="str">
        <f>IFERROR(__xludf.DUMMYFUNCTION("""COMPUTED_VALUE"""),"DEF")</f>
        <v>DEF</v>
      </c>
      <c r="H555" s="119">
        <f>IFERROR(__xludf.DUMMYFUNCTION("""COMPUTED_VALUE"""),25000.0)</f>
        <v>25000</v>
      </c>
      <c r="I555" s="119">
        <f>IFERROR(__xludf.DUMMYFUNCTION("""COMPUTED_VALUE"""),10000.0)</f>
        <v>10000</v>
      </c>
      <c r="J555" s="16"/>
      <c r="K555" s="119">
        <f>IFERROR(__xludf.DUMMYFUNCTION("""COMPUTED_VALUE"""),5000.0)</f>
        <v>5000</v>
      </c>
      <c r="L555" s="16"/>
      <c r="M555" s="16"/>
      <c r="N555" s="16"/>
      <c r="O555" s="16"/>
      <c r="P555" s="16"/>
      <c r="Q555" s="16"/>
      <c r="R555" s="16"/>
      <c r="S555" s="119">
        <f>IFERROR(__xludf.DUMMYFUNCTION("""COMPUTED_VALUE"""),25000.0)</f>
        <v>25000</v>
      </c>
      <c r="T555" s="16"/>
      <c r="U555" s="16"/>
      <c r="V555" s="16"/>
      <c r="W555" s="16"/>
      <c r="X555" s="16"/>
      <c r="Y555" s="16"/>
      <c r="Z555" s="16"/>
      <c r="AA555" s="16"/>
      <c r="AB555" s="16"/>
      <c r="AC555" s="119">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8">
        <f>IFERROR(__xludf.DUMMYFUNCTION("""COMPUTED_VALUE"""),1.1175E8)</f>
        <v>111750000</v>
      </c>
      <c r="G556" s="16" t="str">
        <f>IFERROR(__xludf.DUMMYFUNCTION("""COMPUTED_VALUE"""),"DEF")</f>
        <v>DEF</v>
      </c>
      <c r="H556" s="119">
        <f>IFERROR(__xludf.DUMMYFUNCTION("""COMPUTED_VALUE"""),25000.0)</f>
        <v>25000</v>
      </c>
      <c r="I556" s="119">
        <f>IFERROR(__xludf.DUMMYFUNCTION("""COMPUTED_VALUE"""),10000.0)</f>
        <v>10000</v>
      </c>
      <c r="J556" s="16"/>
      <c r="K556" s="119">
        <f>IFERROR(__xludf.DUMMYFUNCTION("""COMPUTED_VALUE"""),5000.0)</f>
        <v>5000</v>
      </c>
      <c r="L556" s="16"/>
      <c r="M556" s="16"/>
      <c r="N556" s="16"/>
      <c r="O556" s="16"/>
      <c r="P556" s="16"/>
      <c r="Q556" s="16"/>
      <c r="R556" s="16"/>
      <c r="S556" s="119">
        <f>IFERROR(__xludf.DUMMYFUNCTION("""COMPUTED_VALUE"""),25000.0)</f>
        <v>25000</v>
      </c>
      <c r="T556" s="16"/>
      <c r="U556" s="16"/>
      <c r="V556" s="16"/>
      <c r="W556" s="16"/>
      <c r="X556" s="16"/>
      <c r="Y556" s="16"/>
      <c r="Z556" s="16"/>
      <c r="AA556" s="16"/>
      <c r="AB556" s="16"/>
      <c r="AC556" s="119">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8">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8">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8">
        <f>IFERROR(__xludf.DUMMYFUNCTION("""COMPUTED_VALUE"""),7800000.0)</f>
        <v>7800000</v>
      </c>
      <c r="G559" s="16" t="str">
        <f>IFERROR(__xludf.DUMMYFUNCTION("""COMPUTED_VALUE"""),"DEF")</f>
        <v>DEF</v>
      </c>
      <c r="H559" s="119">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8">
        <f>IFERROR(__xludf.DUMMYFUNCTION("""COMPUTED_VALUE"""),7800000.0)</f>
        <v>7800000</v>
      </c>
      <c r="G560" s="16" t="str">
        <f>IFERROR(__xludf.DUMMYFUNCTION("""COMPUTED_VALUE"""),"DEF")</f>
        <v>DEF</v>
      </c>
      <c r="H560" s="119">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8">
        <f>IFERROR(__xludf.DUMMYFUNCTION("""COMPUTED_VALUE"""),3.16E7)</f>
        <v>31600000</v>
      </c>
      <c r="G561" s="16" t="str">
        <f>IFERROR(__xludf.DUMMYFUNCTION("""COMPUTED_VALUE"""),"DEF")</f>
        <v>DEF</v>
      </c>
      <c r="H561" s="119">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8">
        <f>IFERROR(__xludf.DUMMYFUNCTION("""COMPUTED_VALUE"""),7800000.0)</f>
        <v>7800000</v>
      </c>
      <c r="G562" s="16" t="str">
        <f>IFERROR(__xludf.DUMMYFUNCTION("""COMPUTED_VALUE"""),"DEF")</f>
        <v>DEF</v>
      </c>
      <c r="H562" s="119">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8">
        <f>IFERROR(__xludf.DUMMYFUNCTION("""COMPUTED_VALUE"""),4.005E7)</f>
        <v>40050000</v>
      </c>
      <c r="G563" s="16" t="str">
        <f>IFERROR(__xludf.DUMMYFUNCTION("""COMPUTED_VALUE"""),"DMG")</f>
        <v>DMG</v>
      </c>
      <c r="H563" s="119">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9">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8">
        <f>IFERROR(__xludf.DUMMYFUNCTION("""COMPUTED_VALUE"""),1.1175E8)</f>
        <v>111750000</v>
      </c>
      <c r="G564" s="16" t="str">
        <f>IFERROR(__xludf.DUMMYFUNCTION("""COMPUTED_VALUE"""),"DEF")</f>
        <v>DEF</v>
      </c>
      <c r="H564" s="119">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9">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8">
        <f>IFERROR(__xludf.DUMMYFUNCTION("""COMPUTED_VALUE"""),7800000.0)</f>
        <v>7800000</v>
      </c>
      <c r="G565" s="16" t="str">
        <f>IFERROR(__xludf.DUMMYFUNCTION("""COMPUTED_VALUE"""),"DEF")</f>
        <v>DEF</v>
      </c>
      <c r="H565" s="119">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8">
        <f>IFERROR(__xludf.DUMMYFUNCTION("""COMPUTED_VALUE"""),7800000.0)</f>
        <v>7800000</v>
      </c>
      <c r="G566" s="16" t="str">
        <f>IFERROR(__xludf.DUMMYFUNCTION("""COMPUTED_VALUE"""),"DEF")</f>
        <v>DEF</v>
      </c>
      <c r="H566" s="119">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8">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8">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8">
        <f>IFERROR(__xludf.DUMMYFUNCTION("""COMPUTED_VALUE"""),3.16E7)</f>
        <v>31600000</v>
      </c>
      <c r="G569" s="16" t="str">
        <f>IFERROR(__xludf.DUMMYFUNCTION("""COMPUTED_VALUE"""),"DEF")</f>
        <v>DEF</v>
      </c>
      <c r="H569" s="119">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8">
        <f>IFERROR(__xludf.DUMMYFUNCTION("""COMPUTED_VALUE"""),3.16E7)</f>
        <v>31600000</v>
      </c>
      <c r="G570" s="16" t="str">
        <f>IFERROR(__xludf.DUMMYFUNCTION("""COMPUTED_VALUE"""),"DEF")</f>
        <v>DEF</v>
      </c>
      <c r="H570" s="119">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8">
        <f>IFERROR(__xludf.DUMMYFUNCTION("""COMPUTED_VALUE"""),3.16E7)</f>
        <v>31600000</v>
      </c>
      <c r="G571" s="16" t="str">
        <f>IFERROR(__xludf.DUMMYFUNCTION("""COMPUTED_VALUE"""),"DEF")</f>
        <v>DEF</v>
      </c>
      <c r="H571" s="119">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8">
        <f>IFERROR(__xludf.DUMMYFUNCTION("""COMPUTED_VALUE"""),7.14E7)</f>
        <v>71400000</v>
      </c>
      <c r="G572" s="16" t="str">
        <f>IFERROR(__xludf.DUMMYFUNCTION("""COMPUTED_VALUE"""),"DMG")</f>
        <v>DMG</v>
      </c>
      <c r="H572" s="119">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8">
        <f>IFERROR(__xludf.DUMMYFUNCTION("""COMPUTED_VALUE"""),3.16E7)</f>
        <v>31600000</v>
      </c>
      <c r="G573" s="16" t="str">
        <f>IFERROR(__xludf.DUMMYFUNCTION("""COMPUTED_VALUE"""),"DEF")</f>
        <v>DEF</v>
      </c>
      <c r="H573" s="119">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8">
        <f>IFERROR(__xludf.DUMMYFUNCTION("""COMPUTED_VALUE"""),4.95E7)</f>
        <v>49500000</v>
      </c>
      <c r="G574" s="16" t="str">
        <f>IFERROR(__xludf.DUMMYFUNCTION("""COMPUTED_VALUE"""),"DMG")</f>
        <v>DMG</v>
      </c>
      <c r="H574" s="119">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8">
        <f>IFERROR(__xludf.DUMMYFUNCTION("""COMPUTED_VALUE"""),4.95E7)</f>
        <v>49500000</v>
      </c>
      <c r="G575" s="16" t="str">
        <f>IFERROR(__xludf.DUMMYFUNCTION("""COMPUTED_VALUE"""),"DEF")</f>
        <v>DEF</v>
      </c>
      <c r="H575" s="119">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8">
        <f>IFERROR(__xludf.DUMMYFUNCTION("""COMPUTED_VALUE"""),4.95E7)</f>
        <v>49500000</v>
      </c>
      <c r="G576" s="16" t="str">
        <f>IFERROR(__xludf.DUMMYFUNCTION("""COMPUTED_VALUE"""),"DEF")</f>
        <v>DEF</v>
      </c>
      <c r="H576" s="119">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8">
        <f>IFERROR(__xludf.DUMMYFUNCTION("""COMPUTED_VALUE"""),4.95E7)</f>
        <v>49500000</v>
      </c>
      <c r="G577" s="16" t="str">
        <f>IFERROR(__xludf.DUMMYFUNCTION("""COMPUTED_VALUE"""),"DEF")</f>
        <v>DEF</v>
      </c>
      <c r="H577" s="119">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8">
        <f>IFERROR(__xludf.DUMMYFUNCTION("""COMPUTED_VALUE"""),4.95E7)</f>
        <v>49500000</v>
      </c>
      <c r="G578" s="16" t="str">
        <f>IFERROR(__xludf.DUMMYFUNCTION("""COMPUTED_VALUE"""),"DEF")</f>
        <v>DEF</v>
      </c>
      <c r="H578" s="119">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8">
        <f>IFERROR(__xludf.DUMMYFUNCTION("""COMPUTED_VALUE"""),4.95E7)</f>
        <v>49500000</v>
      </c>
      <c r="G579" s="16" t="str">
        <f>IFERROR(__xludf.DUMMYFUNCTION("""COMPUTED_VALUE"""),"DEF")</f>
        <v>DEF</v>
      </c>
      <c r="H579" s="119">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8">
        <f>IFERROR(__xludf.DUMMYFUNCTION("""COMPUTED_VALUE"""),4.95E7)</f>
        <v>49500000</v>
      </c>
      <c r="G580" s="16" t="str">
        <f>IFERROR(__xludf.DUMMYFUNCTION("""COMPUTED_VALUE"""),"DEF")</f>
        <v>DEF</v>
      </c>
      <c r="H580" s="119">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8">
        <f>IFERROR(__xludf.DUMMYFUNCTION("""COMPUTED_VALUE"""),4.485E8)</f>
        <v>448500000</v>
      </c>
      <c r="G581" s="16" t="str">
        <f>IFERROR(__xludf.DUMMYFUNCTION("""COMPUTED_VALUE"""),"DMG")</f>
        <v>DMG</v>
      </c>
      <c r="H581" s="119">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8">
        <f>IFERROR(__xludf.DUMMYFUNCTION("""COMPUTED_VALUE"""),1.1175E8)</f>
        <v>111750000</v>
      </c>
      <c r="G582" s="16" t="str">
        <f>IFERROR(__xludf.DUMMYFUNCTION("""COMPUTED_VALUE"""),"DMG")</f>
        <v>DMG</v>
      </c>
      <c r="H582" s="119">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8">
        <f>IFERROR(__xludf.DUMMYFUNCTION("""COMPUTED_VALUE"""),1.99E8)</f>
        <v>199000000</v>
      </c>
      <c r="G583" s="16" t="str">
        <f>IFERROR(__xludf.DUMMYFUNCTION("""COMPUTED_VALUE"""),"DMG")</f>
        <v>DMG</v>
      </c>
      <c r="H583" s="119">
        <f>IFERROR(__xludf.DUMMYFUNCTION("""COMPUTED_VALUE"""),75000.0)</f>
        <v>75000</v>
      </c>
      <c r="I583" s="16"/>
      <c r="J583" s="16"/>
      <c r="K583" s="16"/>
      <c r="L583" s="16"/>
      <c r="M583" s="16"/>
      <c r="N583" s="16"/>
      <c r="O583" s="16"/>
      <c r="P583" s="16"/>
      <c r="Q583" s="16"/>
      <c r="R583" s="16"/>
      <c r="S583" s="16"/>
      <c r="T583" s="16"/>
      <c r="U583" s="16"/>
      <c r="V583" s="16"/>
      <c r="W583" s="16"/>
      <c r="X583" s="119">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8">
        <f>IFERROR(__xludf.DUMMYFUNCTION("""COMPUTED_VALUE"""),1.99E8)</f>
        <v>199000000</v>
      </c>
      <c r="G584" s="16" t="str">
        <f>IFERROR(__xludf.DUMMYFUNCTION("""COMPUTED_VALUE"""),"DMG")</f>
        <v>DMG</v>
      </c>
      <c r="H584" s="119">
        <f>IFERROR(__xludf.DUMMYFUNCTION("""COMPUTED_VALUE"""),75000.0)</f>
        <v>75000</v>
      </c>
      <c r="I584" s="16"/>
      <c r="J584" s="16"/>
      <c r="K584" s="16"/>
      <c r="L584" s="16"/>
      <c r="M584" s="16"/>
      <c r="N584" s="16"/>
      <c r="O584" s="16"/>
      <c r="P584" s="16"/>
      <c r="Q584" s="16"/>
      <c r="R584" s="16"/>
      <c r="S584" s="16"/>
      <c r="T584" s="16"/>
      <c r="U584" s="16"/>
      <c r="V584" s="16"/>
      <c r="W584" s="16"/>
      <c r="X584" s="119">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8">
        <f>IFERROR(__xludf.DUMMYFUNCTION("""COMPUTED_VALUE"""),3.1125E8)</f>
        <v>311250000</v>
      </c>
      <c r="G585" s="16" t="str">
        <f>IFERROR(__xludf.DUMMYFUNCTION("""COMPUTED_VALUE"""),"DMG")</f>
        <v>DMG</v>
      </c>
      <c r="H585" s="119">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8">
        <f>IFERROR(__xludf.DUMMYFUNCTION("""COMPUTED_VALUE"""),3.1125E8)</f>
        <v>311250000</v>
      </c>
      <c r="G586" s="16" t="str">
        <f>IFERROR(__xludf.DUMMYFUNCTION("""COMPUTED_VALUE"""),"DEF")</f>
        <v>DEF</v>
      </c>
      <c r="H586" s="119">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8">
        <f>IFERROR(__xludf.DUMMYFUNCTION("""COMPUTED_VALUE"""),3.1125E8)</f>
        <v>311250000</v>
      </c>
      <c r="G587" s="16" t="str">
        <f>IFERROR(__xludf.DUMMYFUNCTION("""COMPUTED_VALUE"""),"DEF")</f>
        <v>DEF</v>
      </c>
      <c r="H587" s="119">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8">
        <f>IFERROR(__xludf.DUMMYFUNCTION("""COMPUTED_VALUE"""),3.1125E8)</f>
        <v>311250000</v>
      </c>
      <c r="G588" s="16" t="str">
        <f>IFERROR(__xludf.DUMMYFUNCTION("""COMPUTED_VALUE"""),"DEF")</f>
        <v>DEF</v>
      </c>
      <c r="H588" s="119">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8">
        <f>IFERROR(__xludf.DUMMYFUNCTION("""COMPUTED_VALUE"""),3.1125E8)</f>
        <v>311250000</v>
      </c>
      <c r="G589" s="16" t="str">
        <f>IFERROR(__xludf.DUMMYFUNCTION("""COMPUTED_VALUE"""),"DEF")</f>
        <v>DEF</v>
      </c>
      <c r="H589" s="119">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8">
        <f>IFERROR(__xludf.DUMMYFUNCTION("""COMPUTED_VALUE"""),3.1125E8)</f>
        <v>311250000</v>
      </c>
      <c r="G590" s="16" t="str">
        <f>IFERROR(__xludf.DUMMYFUNCTION("""COMPUTED_VALUE"""),"DEF")</f>
        <v>DEF</v>
      </c>
      <c r="H590" s="119">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8">
        <f>IFERROR(__xludf.DUMMYFUNCTION("""COMPUTED_VALUE"""),3.1125E8)</f>
        <v>311250000</v>
      </c>
      <c r="G591" s="16" t="str">
        <f>IFERROR(__xludf.DUMMYFUNCTION("""COMPUTED_VALUE"""),"DEF")</f>
        <v>DEF</v>
      </c>
      <c r="H591" s="119">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8">
        <f>IFERROR(__xludf.DUMMYFUNCTION("""COMPUTED_VALUE"""),3.1125E8)</f>
        <v>311250000</v>
      </c>
      <c r="G592" s="16" t="str">
        <f>IFERROR(__xludf.DUMMYFUNCTION("""COMPUTED_VALUE"""),"DEF")</f>
        <v>DEF</v>
      </c>
      <c r="H592" s="119">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8">
        <f>IFERROR(__xludf.DUMMYFUNCTION("""COMPUTED_VALUE"""),3.1125E8)</f>
        <v>311250000</v>
      </c>
      <c r="G593" s="16" t="str">
        <f>IFERROR(__xludf.DUMMYFUNCTION("""COMPUTED_VALUE"""),"DEF")</f>
        <v>DEF</v>
      </c>
      <c r="H593" s="119">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8">
        <f>IFERROR(__xludf.DUMMYFUNCTION("""COMPUTED_VALUE"""),3.1125E8)</f>
        <v>311250000</v>
      </c>
      <c r="G594" s="16" t="str">
        <f>IFERROR(__xludf.DUMMYFUNCTION("""COMPUTED_VALUE"""),"DEF")</f>
        <v>DEF</v>
      </c>
      <c r="H594" s="119">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8">
        <f>IFERROR(__xludf.DUMMYFUNCTION("""COMPUTED_VALUE"""),3.1125E8)</f>
        <v>311250000</v>
      </c>
      <c r="G595" s="16" t="str">
        <f>IFERROR(__xludf.DUMMYFUNCTION("""COMPUTED_VALUE"""),"DEF")</f>
        <v>DEF</v>
      </c>
      <c r="H595" s="119">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8">
        <f>IFERROR(__xludf.DUMMYFUNCTION("""COMPUTED_VALUE"""),3.1125E8)</f>
        <v>311250000</v>
      </c>
      <c r="G596" s="16" t="str">
        <f>IFERROR(__xludf.DUMMYFUNCTION("""COMPUTED_VALUE"""),"DEF")</f>
        <v>DEF</v>
      </c>
      <c r="H596" s="119">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8">
        <f>IFERROR(__xludf.DUMMYFUNCTION("""COMPUTED_VALUE"""),3.1125E8)</f>
        <v>311250000</v>
      </c>
      <c r="G597" s="16" t="str">
        <f>IFERROR(__xludf.DUMMYFUNCTION("""COMPUTED_VALUE"""),"DEF")</f>
        <v>DEF</v>
      </c>
      <c r="H597" s="119">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8">
        <f>IFERROR(__xludf.DUMMYFUNCTION("""COMPUTED_VALUE"""),3.1125E8)</f>
        <v>311250000</v>
      </c>
      <c r="G598" s="16" t="str">
        <f>IFERROR(__xludf.DUMMYFUNCTION("""COMPUTED_VALUE"""),"DEF")</f>
        <v>DEF</v>
      </c>
      <c r="H598" s="119">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8">
        <f>IFERROR(__xludf.DUMMYFUNCTION("""COMPUTED_VALUE"""),3.1125E8)</f>
        <v>311250000</v>
      </c>
      <c r="G599" s="16" t="str">
        <f>IFERROR(__xludf.DUMMYFUNCTION("""COMPUTED_VALUE"""),"DEF")</f>
        <v>DEF</v>
      </c>
      <c r="H599" s="119">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8">
        <f>IFERROR(__xludf.DUMMYFUNCTION("""COMPUTED_VALUE"""),3.1125E8)</f>
        <v>311250000</v>
      </c>
      <c r="G600" s="16" t="str">
        <f>IFERROR(__xludf.DUMMYFUNCTION("""COMPUTED_VALUE"""),"DEF")</f>
        <v>DEF</v>
      </c>
      <c r="H600" s="119">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8">
        <f>IFERROR(__xludf.DUMMYFUNCTION("""COMPUTED_VALUE"""),3.1125E8)</f>
        <v>311250000</v>
      </c>
      <c r="G601" s="16" t="str">
        <f>IFERROR(__xludf.DUMMYFUNCTION("""COMPUTED_VALUE"""),"DEF")</f>
        <v>DEF</v>
      </c>
      <c r="H601" s="119">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8">
        <f>IFERROR(__xludf.DUMMYFUNCTION("""COMPUTED_VALUE"""),3.1125E8)</f>
        <v>311250000</v>
      </c>
      <c r="G602" s="16" t="str">
        <f>IFERROR(__xludf.DUMMYFUNCTION("""COMPUTED_VALUE"""),"DEF")</f>
        <v>DEF</v>
      </c>
      <c r="H602" s="119">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8">
        <f>IFERROR(__xludf.DUMMYFUNCTION("""COMPUTED_VALUE"""),3.1125E8)</f>
        <v>311250000</v>
      </c>
      <c r="G603" s="16" t="str">
        <f>IFERROR(__xludf.DUMMYFUNCTION("""COMPUTED_VALUE"""),"DEF")</f>
        <v>DEF</v>
      </c>
      <c r="H603" s="119">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8">
        <f>IFERROR(__xludf.DUMMYFUNCTION("""COMPUTED_VALUE"""),3.1125E8)</f>
        <v>311250000</v>
      </c>
      <c r="G604" s="16" t="str">
        <f>IFERROR(__xludf.DUMMYFUNCTION("""COMPUTED_VALUE"""),"DEF")</f>
        <v>DEF</v>
      </c>
      <c r="H604" s="119">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8">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8">
        <f>IFERROR(__xludf.DUMMYFUNCTION("""COMPUTED_VALUE"""),7.194E9)</f>
        <v>7194000000</v>
      </c>
      <c r="G606" s="16" t="str">
        <f>IFERROR(__xludf.DUMMYFUNCTION("""COMPUTED_VALUE"""),"DEF")</f>
        <v>DEF</v>
      </c>
      <c r="H606" s="119">
        <f>IFERROR(__xludf.DUMMYFUNCTION("""COMPUTED_VALUE"""),200000.0)</f>
        <v>200000</v>
      </c>
      <c r="I606" s="16"/>
      <c r="J606" s="16"/>
      <c r="K606" s="16"/>
      <c r="L606" s="16"/>
      <c r="M606" s="16"/>
      <c r="N606" s="119">
        <f>IFERROR(__xludf.DUMMYFUNCTION("""COMPUTED_VALUE"""),100000.0)</f>
        <v>100000</v>
      </c>
      <c r="O606" s="16"/>
      <c r="P606" s="16"/>
      <c r="Q606" s="16"/>
      <c r="R606" s="16"/>
      <c r="S606" s="16"/>
      <c r="T606" s="16"/>
      <c r="U606" s="16"/>
      <c r="V606" s="16"/>
      <c r="W606" s="16"/>
      <c r="X606" s="16"/>
      <c r="Y606" s="16"/>
      <c r="Z606" s="16"/>
      <c r="AA606" s="16"/>
      <c r="AB606" s="119">
        <f>IFERROR(__xludf.DUMMYFUNCTION("""COMPUTED_VALUE"""),200000.0)</f>
        <v>200000</v>
      </c>
      <c r="AC606" s="119">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8">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8">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8">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8">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8">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8">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8">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8">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8">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8">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8">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8">
        <f>IFERROR(__xludf.DUMMYFUNCTION("""COMPUTED_VALUE"""),7.98E8)</f>
        <v>798000000</v>
      </c>
      <c r="G618" s="16" t="str">
        <f>IFERROR(__xludf.DUMMYFUNCTION("""COMPUTED_VALUE"""),"DEF")</f>
        <v>DEF</v>
      </c>
      <c r="H618" s="119">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8">
        <f>IFERROR(__xludf.DUMMYFUNCTION("""COMPUTED_VALUE"""),7.98E8)</f>
        <v>798000000</v>
      </c>
      <c r="G619" s="16" t="str">
        <f>IFERROR(__xludf.DUMMYFUNCTION("""COMPUTED_VALUE"""),"DEF")</f>
        <v>DEF</v>
      </c>
      <c r="H619" s="119">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8">
        <f>IFERROR(__xludf.DUMMYFUNCTION("""COMPUTED_VALUE"""),7.98E8)</f>
        <v>798000000</v>
      </c>
      <c r="G620" s="16" t="str">
        <f>IFERROR(__xludf.DUMMYFUNCTION("""COMPUTED_VALUE"""),"DEF")</f>
        <v>DEF</v>
      </c>
      <c r="H620" s="119">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8">
        <f>IFERROR(__xludf.DUMMYFUNCTION("""COMPUTED_VALUE"""),7.98E8)</f>
        <v>798000000</v>
      </c>
      <c r="G621" s="16" t="str">
        <f>IFERROR(__xludf.DUMMYFUNCTION("""COMPUTED_VALUE"""),"DEF")</f>
        <v>DEF</v>
      </c>
      <c r="H621" s="119">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8">
        <f>IFERROR(__xludf.DUMMYFUNCTION("""COMPUTED_VALUE"""),7.98E8)</f>
        <v>798000000</v>
      </c>
      <c r="G622" s="16" t="str">
        <f>IFERROR(__xludf.DUMMYFUNCTION("""COMPUTED_VALUE"""),"DEF")</f>
        <v>DEF</v>
      </c>
      <c r="H622" s="119">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8">
        <f>IFERROR(__xludf.DUMMYFUNCTION("""COMPUTED_VALUE"""),7.98E8)</f>
        <v>798000000</v>
      </c>
      <c r="G623" s="16" t="str">
        <f>IFERROR(__xludf.DUMMYFUNCTION("""COMPUTED_VALUE"""),"DEF")</f>
        <v>DEF</v>
      </c>
      <c r="H623" s="119">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8">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8">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8">
        <f>IFERROR(__xludf.DUMMYFUNCTION("""COMPUTED_VALUE"""),1.99E8)</f>
        <v>199000000</v>
      </c>
      <c r="G626" s="16" t="str">
        <f>IFERROR(__xludf.DUMMYFUNCTION("""COMPUTED_VALUE"""),"DEF")</f>
        <v>DEF</v>
      </c>
      <c r="H626" s="119">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9">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8">
        <f>IFERROR(__xludf.DUMMYFUNCTION("""COMPUTED_VALUE"""),1.99E8)</f>
        <v>199000000</v>
      </c>
      <c r="G627" s="16" t="str">
        <f>IFERROR(__xludf.DUMMYFUNCTION("""COMPUTED_VALUE"""),"DMG")</f>
        <v>DMG</v>
      </c>
      <c r="H627" s="119">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9">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8">
        <f>IFERROR(__xludf.DUMMYFUNCTION("""COMPUTED_VALUE"""),1900000.0)</f>
        <v>1900000</v>
      </c>
      <c r="G628" s="16" t="str">
        <f>IFERROR(__xludf.DUMMYFUNCTION("""COMPUTED_VALUE"""),"DMG")</f>
        <v>DMG</v>
      </c>
      <c r="H628" s="119">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8">
        <f>IFERROR(__xludf.DUMMYFUNCTION("""COMPUTED_VALUE"""),1900000.0)</f>
        <v>1900000</v>
      </c>
      <c r="G629" s="16" t="str">
        <f>IFERROR(__xludf.DUMMYFUNCTION("""COMPUTED_VALUE"""),"DMG")</f>
        <v>DMG</v>
      </c>
      <c r="H629" s="119">
        <f>IFERROR(__xludf.DUMMYFUNCTION("""COMPUTED_VALUE"""),5000.0)</f>
        <v>5000</v>
      </c>
      <c r="I629" s="16"/>
      <c r="J629" s="16"/>
      <c r="K629" s="16"/>
      <c r="L629" s="16"/>
      <c r="M629" s="16"/>
      <c r="N629" s="119">
        <f>IFERROR(__xludf.DUMMYFUNCTION("""COMPUTED_VALUE"""),2500.0)</f>
        <v>2500</v>
      </c>
      <c r="O629" s="16"/>
      <c r="P629" s="16"/>
      <c r="Q629" s="119">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8">
        <f>IFERROR(__xludf.DUMMYFUNCTION("""COMPUTED_VALUE"""),1900000.0)</f>
        <v>1900000</v>
      </c>
      <c r="G630" s="16" t="str">
        <f>IFERROR(__xludf.DUMMYFUNCTION("""COMPUTED_VALUE"""),"DMG")</f>
        <v>DMG</v>
      </c>
      <c r="H630" s="119">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8">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8">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8">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8">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8">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8">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8">
        <f>IFERROR(__xludf.DUMMYFUNCTION("""COMPUTED_VALUE"""),1900000.0)</f>
        <v>1900000</v>
      </c>
      <c r="G637" s="16" t="str">
        <f>IFERROR(__xludf.DUMMYFUNCTION("""COMPUTED_VALUE"""),"DMG")</f>
        <v>DMG</v>
      </c>
      <c r="H637" s="119">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8">
        <f>IFERROR(__xludf.DUMMYFUNCTION("""COMPUTED_VALUE"""),7.14E7)</f>
        <v>71400000</v>
      </c>
      <c r="G638" s="16" t="str">
        <f>IFERROR(__xludf.DUMMYFUNCTION("""COMPUTED_VALUE"""),"DMG")</f>
        <v>DMG</v>
      </c>
      <c r="H638" s="119">
        <f>IFERROR(__xludf.DUMMYFUNCTION("""COMPUTED_VALUE"""),50000.0)</f>
        <v>50000</v>
      </c>
      <c r="I638" s="16"/>
      <c r="J638" s="16"/>
      <c r="K638" s="16"/>
      <c r="L638" s="16"/>
      <c r="M638" s="16"/>
      <c r="N638" s="16"/>
      <c r="O638" s="16"/>
      <c r="P638" s="16"/>
      <c r="Q638" s="16"/>
      <c r="R638" s="16"/>
      <c r="S638" s="16"/>
      <c r="T638" s="16"/>
      <c r="U638" s="16"/>
      <c r="V638" s="16"/>
      <c r="W638" s="16"/>
      <c r="X638" s="16"/>
      <c r="Y638" s="119">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8">
        <f>IFERROR(__xludf.DUMMYFUNCTION("""COMPUTED_VALUE"""),1.225E7)</f>
        <v>12250000</v>
      </c>
      <c r="G639" s="16" t="str">
        <f>IFERROR(__xludf.DUMMYFUNCTION("""COMPUTED_VALUE"""),"DMG")</f>
        <v>DMG</v>
      </c>
      <c r="H639" s="119">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8">
        <f>IFERROR(__xludf.DUMMYFUNCTION("""COMPUTED_VALUE"""),7800000.0)</f>
        <v>7800000</v>
      </c>
      <c r="G640" s="16" t="str">
        <f>IFERROR(__xludf.DUMMYFUNCTION("""COMPUTED_VALUE"""),"DEF")</f>
        <v>DEF</v>
      </c>
      <c r="H640" s="119">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8">
        <f>IFERROR(__xludf.DUMMYFUNCTION("""COMPUTED_VALUE"""),1.99E8)</f>
        <v>199000000</v>
      </c>
      <c r="G641" s="16" t="str">
        <f>IFERROR(__xludf.DUMMYFUNCTION("""COMPUTED_VALUE"""),"DMG")</f>
        <v>DMG</v>
      </c>
      <c r="H641" s="16"/>
      <c r="I641" s="16"/>
      <c r="J641" s="16"/>
      <c r="K641" s="16"/>
      <c r="L641" s="16"/>
      <c r="M641" s="16"/>
      <c r="N641" s="16"/>
      <c r="O641" s="16"/>
      <c r="P641" s="119">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8">
        <f>IFERROR(__xludf.DUMMYFUNCTION("""COMPUTED_VALUE"""),1.99E8)</f>
        <v>199000000</v>
      </c>
      <c r="G642" s="16" t="str">
        <f>IFERROR(__xludf.DUMMYFUNCTION("""COMPUTED_VALUE"""),"DMG")</f>
        <v>DMG</v>
      </c>
      <c r="H642" s="16"/>
      <c r="I642" s="119">
        <f>IFERROR(__xludf.DUMMYFUNCTION("""COMPUTED_VALUE"""),20000.0)</f>
        <v>20000</v>
      </c>
      <c r="J642" s="119">
        <f>IFERROR(__xludf.DUMMYFUNCTION("""COMPUTED_VALUE"""),20000.0)</f>
        <v>20000</v>
      </c>
      <c r="K642" s="119">
        <f>IFERROR(__xludf.DUMMYFUNCTION("""COMPUTED_VALUE"""),20000.0)</f>
        <v>20000</v>
      </c>
      <c r="L642" s="119">
        <f>IFERROR(__xludf.DUMMYFUNCTION("""COMPUTED_VALUE"""),20000.0)</f>
        <v>20000</v>
      </c>
      <c r="M642" s="119">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8">
        <f>IFERROR(__xludf.DUMMYFUNCTION("""COMPUTED_VALUE"""),4.95E7)</f>
        <v>49500000</v>
      </c>
      <c r="G643" s="16" t="str">
        <f>IFERROR(__xludf.DUMMYFUNCTION("""COMPUTED_VALUE"""),"DMG")</f>
        <v>DMG</v>
      </c>
      <c r="H643" s="16"/>
      <c r="I643" s="16"/>
      <c r="J643" s="16"/>
      <c r="K643" s="119">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8">
        <f>IFERROR(__xludf.DUMMYFUNCTION("""COMPUTED_VALUE"""),3.16E7)</f>
        <v>31600000</v>
      </c>
      <c r="G644" s="16" t="str">
        <f>IFERROR(__xludf.DUMMYFUNCTION("""COMPUTED_VALUE"""),"DEF")</f>
        <v>DEF</v>
      </c>
      <c r="H644" s="119">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8">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9">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8">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8">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8">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8">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8">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8">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8">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8">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8">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8">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8">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8">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8">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8">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8">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8">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8">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8">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8">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8">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8">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8">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8">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8">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8">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8">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8">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8">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8">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8">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8">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8">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8">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8">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8">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8">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8">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8">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8">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8">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8">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8">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8">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8">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8">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8">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8">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8">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8">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8">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8">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8">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8">
        <f>IFERROR(__xludf.DUMMYFUNCTION("""COMPUTED_VALUE"""),4.485E8)</f>
        <v>448500000</v>
      </c>
      <c r="G698" s="16" t="str">
        <f>IFERROR(__xludf.DUMMYFUNCTION("""COMPUTED_VALUE"""),"DMG")</f>
        <v>DMG</v>
      </c>
      <c r="H698" s="16"/>
      <c r="I698" s="16"/>
      <c r="J698" s="16"/>
      <c r="K698" s="119">
        <f>IFERROR(__xludf.DUMMYFUNCTION("""COMPUTED_VALUE"""),50000.0)</f>
        <v>50000</v>
      </c>
      <c r="L698" s="119">
        <f>IFERROR(__xludf.DUMMYFUNCTION("""COMPUTED_VALUE"""),50000.0)</f>
        <v>50000</v>
      </c>
      <c r="M698" s="16"/>
      <c r="N698" s="16"/>
      <c r="O698" s="16"/>
      <c r="P698" s="16"/>
      <c r="Q698" s="16"/>
      <c r="R698" s="16"/>
      <c r="S698" s="16"/>
      <c r="T698" s="16"/>
      <c r="U698" s="16"/>
      <c r="V698" s="16"/>
      <c r="W698" s="16"/>
      <c r="X698" s="16"/>
      <c r="Y698" s="16"/>
      <c r="Z698" s="16"/>
      <c r="AA698" s="16"/>
      <c r="AB698" s="16"/>
      <c r="AC698" s="119">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8">
        <f>IFERROR(__xludf.DUMMYFUNCTION("""COMPUTED_VALUE"""),1900000.0)</f>
        <v>1900000</v>
      </c>
      <c r="G699" s="16" t="str">
        <f>IFERROR(__xludf.DUMMYFUNCTION("""COMPUTED_VALUE"""),"DMG")</f>
        <v>DMG</v>
      </c>
      <c r="H699" s="16"/>
      <c r="I699" s="16"/>
      <c r="J699" s="16"/>
      <c r="K699" s="119">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8">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8">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8">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8">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8">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8">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8">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8">
        <f>IFERROR(__xludf.DUMMYFUNCTION("""COMPUTED_VALUE"""),4.95E7)</f>
        <v>49500000</v>
      </c>
      <c r="G707" s="16" t="str">
        <f>IFERROR(__xludf.DUMMYFUNCTION("""COMPUTED_VALUE"""),"DMG")</f>
        <v>DMG</v>
      </c>
      <c r="H707" s="119">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8">
        <f>IFERROR(__xludf.DUMMYFUNCTION("""COMPUTED_VALUE"""),4.95E7)</f>
        <v>49500000</v>
      </c>
      <c r="G708" s="16" t="str">
        <f>IFERROR(__xludf.DUMMYFUNCTION("""COMPUTED_VALUE"""),"DMG")</f>
        <v>DMG</v>
      </c>
      <c r="H708" s="119">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8">
        <f>IFERROR(__xludf.DUMMYFUNCTION("""COMPUTED_VALUE"""),7.14E7)</f>
        <v>71400000</v>
      </c>
      <c r="G709" s="16" t="str">
        <f>IFERROR(__xludf.DUMMYFUNCTION("""COMPUTED_VALUE"""),"DMG")</f>
        <v>DMG</v>
      </c>
      <c r="H709" s="119">
        <f>IFERROR(__xludf.DUMMYFUNCTION("""COMPUTED_VALUE"""),50000.0)</f>
        <v>50000</v>
      </c>
      <c r="I709" s="16"/>
      <c r="J709" s="16"/>
      <c r="K709" s="16"/>
      <c r="L709" s="119">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8">
        <f>IFERROR(__xludf.DUMMYFUNCTION("""COMPUTED_VALUE"""),4.95E7)</f>
        <v>49500000</v>
      </c>
      <c r="G710" s="119" t="str">
        <f>IFERROR(__xludf.DUMMYFUNCTION("""COMPUTED_VALUE"""),"DMG")</f>
        <v>DMG</v>
      </c>
      <c r="H710" s="119">
        <f>IFERROR(__xludf.DUMMYFUNCTION("""COMPUTED_VALUE"""),30000.0)</f>
        <v>30000</v>
      </c>
      <c r="I710" s="119">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8">
        <f>IFERROR(__xludf.DUMMYFUNCTION("""COMPUTED_VALUE"""),7800000.0)</f>
        <v>7800000</v>
      </c>
      <c r="G711" s="16" t="str">
        <f>IFERROR(__xludf.DUMMYFUNCTION("""COMPUTED_VALUE"""),"DMG")</f>
        <v>DMG</v>
      </c>
      <c r="H711" s="119">
        <f>IFERROR(__xludf.DUMMYFUNCTION("""COMPUTED_VALUE"""),10000.0)</f>
        <v>10000</v>
      </c>
      <c r="I711" s="16"/>
      <c r="J711" s="16"/>
      <c r="K711" s="16"/>
      <c r="L711" s="16"/>
      <c r="M711" s="16"/>
      <c r="N711" s="16"/>
      <c r="O711" s="16"/>
      <c r="P711" s="16"/>
      <c r="Q711" s="16"/>
      <c r="R711" s="16"/>
      <c r="S711" s="16"/>
      <c r="T711" s="16"/>
      <c r="U711" s="16"/>
      <c r="V711" s="16"/>
      <c r="W711" s="16"/>
      <c r="X711" s="16"/>
      <c r="Y711" s="119">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8">
        <f>IFERROR(__xludf.DUMMYFUNCTION("""COMPUTED_VALUE"""),4.95E7)</f>
        <v>49500000</v>
      </c>
      <c r="G712" s="16" t="str">
        <f>IFERROR(__xludf.DUMMYFUNCTION("""COMPUTED_VALUE"""),"DMG")</f>
        <v>DMG</v>
      </c>
      <c r="H712" s="119">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8">
        <f>IFERROR(__xludf.DUMMYFUNCTION("""COMPUTED_VALUE"""),3.16E7)</f>
        <v>31600000</v>
      </c>
      <c r="G713" s="16" t="str">
        <f>IFERROR(__xludf.DUMMYFUNCTION("""COMPUTED_VALUE"""),"DMG")</f>
        <v>DMG</v>
      </c>
      <c r="H713" s="119">
        <f>IFERROR(__xludf.DUMMYFUNCTION("""COMPUTED_VALUE"""),20000.0)</f>
        <v>20000</v>
      </c>
      <c r="I713" s="16"/>
      <c r="J713" s="16"/>
      <c r="K713" s="16"/>
      <c r="L713" s="16"/>
      <c r="M713" s="16"/>
      <c r="N713" s="16"/>
      <c r="O713" s="16"/>
      <c r="P713" s="16"/>
      <c r="Q713" s="16"/>
      <c r="R713" s="16"/>
      <c r="S713" s="16"/>
      <c r="T713" s="16"/>
      <c r="U713" s="16"/>
      <c r="V713" s="16"/>
      <c r="W713" s="16"/>
      <c r="X713" s="16"/>
      <c r="Y713" s="119">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8">
        <f>IFERROR(__xludf.DUMMYFUNCTION("""COMPUTED_VALUE"""),7800000.0)</f>
        <v>7800000</v>
      </c>
      <c r="G714" s="16" t="str">
        <f>IFERROR(__xludf.DUMMYFUNCTION("""COMPUTED_VALUE"""),"DMG")</f>
        <v>DMG</v>
      </c>
      <c r="H714" s="119">
        <f>IFERROR(__xludf.DUMMYFUNCTION("""COMPUTED_VALUE"""),10000.0)</f>
        <v>10000</v>
      </c>
      <c r="I714" s="16"/>
      <c r="J714" s="16"/>
      <c r="K714" s="16"/>
      <c r="L714" s="16"/>
      <c r="M714" s="16"/>
      <c r="N714" s="16"/>
      <c r="O714" s="16"/>
      <c r="P714" s="16"/>
      <c r="Q714" s="16"/>
      <c r="R714" s="16"/>
      <c r="S714" s="16"/>
      <c r="T714" s="16"/>
      <c r="U714" s="16"/>
      <c r="V714" s="16"/>
      <c r="W714" s="16"/>
      <c r="X714" s="16"/>
      <c r="Y714" s="119">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8">
        <f>IFERROR(__xludf.DUMMYFUNCTION("""COMPUTED_VALUE"""),1.99E8)</f>
        <v>199000000</v>
      </c>
      <c r="G715" s="16" t="str">
        <f>IFERROR(__xludf.DUMMYFUNCTION("""COMPUTED_VALUE"""),"DMG")</f>
        <v>DMG</v>
      </c>
      <c r="H715" s="16"/>
      <c r="I715" s="16"/>
      <c r="J715" s="16"/>
      <c r="K715" s="16"/>
      <c r="L715" s="16"/>
      <c r="M715" s="16"/>
      <c r="N715" s="16"/>
      <c r="O715" s="16"/>
      <c r="P715" s="16"/>
      <c r="Q715" s="16"/>
      <c r="R715" s="16"/>
      <c r="S715" s="119">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8">
        <f>IFERROR(__xludf.DUMMYFUNCTION("""COMPUTED_VALUE"""),1.99E8)</f>
        <v>199000000</v>
      </c>
      <c r="G716" s="16"/>
      <c r="H716" s="16"/>
      <c r="I716" s="16"/>
      <c r="J716" s="16"/>
      <c r="K716" s="16"/>
      <c r="L716" s="16"/>
      <c r="M716" s="16"/>
      <c r="N716" s="16"/>
      <c r="O716" s="16"/>
      <c r="P716" s="16"/>
      <c r="Q716" s="16"/>
      <c r="R716" s="16"/>
      <c r="S716" s="119">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8">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8">
        <f>IFERROR(__xludf.DUMMYFUNCTION("""COMPUTED_VALUE"""),1.2475E9)</f>
        <v>1247500000</v>
      </c>
      <c r="G718" s="16" t="str">
        <f>IFERROR(__xludf.DUMMYFUNCTION("""COMPUTED_VALUE"""),"DEF")</f>
        <v>DEF</v>
      </c>
      <c r="H718" s="119">
        <f>IFERROR(__xludf.DUMMYFUNCTION("""COMPUTED_VALUE"""),50000.0)</f>
        <v>50000</v>
      </c>
      <c r="I718" s="119">
        <f>IFERROR(__xludf.DUMMYFUNCTION("""COMPUTED_VALUE"""),50000.0)</f>
        <v>50000</v>
      </c>
      <c r="J718" s="16"/>
      <c r="K718" s="16"/>
      <c r="L718" s="119">
        <f>IFERROR(__xludf.DUMMYFUNCTION("""COMPUTED_VALUE"""),50000.0)</f>
        <v>50000</v>
      </c>
      <c r="M718" s="119">
        <f>IFERROR(__xludf.DUMMYFUNCTION("""COMPUTED_VALUE"""),50000.0)</f>
        <v>50000</v>
      </c>
      <c r="N718" s="16"/>
      <c r="O718" s="16"/>
      <c r="P718" s="16"/>
      <c r="Q718" s="16"/>
      <c r="R718" s="16"/>
      <c r="S718" s="16"/>
      <c r="T718" s="16"/>
      <c r="U718" s="16"/>
      <c r="V718" s="16"/>
      <c r="W718" s="16"/>
      <c r="X718" s="16"/>
      <c r="Y718" s="16"/>
      <c r="Z718" s="16"/>
      <c r="AA718" s="16"/>
      <c r="AB718" s="16"/>
      <c r="AC718" s="119">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8">
        <f>IFERROR(__xludf.DUMMYFUNCTION("""COMPUTED_VALUE"""),1.797E9)</f>
        <v>1797000000</v>
      </c>
      <c r="G719" s="16" t="str">
        <f>IFERROR(__xludf.DUMMYFUNCTION("""COMPUTED_VALUE"""),"DMG")</f>
        <v>DMG</v>
      </c>
      <c r="H719" s="119">
        <f>IFERROR(__xludf.DUMMYFUNCTION("""COMPUTED_VALUE"""),75000.0)</f>
        <v>75000</v>
      </c>
      <c r="I719" s="119">
        <f>IFERROR(__xludf.DUMMYFUNCTION("""COMPUTED_VALUE"""),75000.0)</f>
        <v>75000</v>
      </c>
      <c r="J719" s="16"/>
      <c r="K719" s="16"/>
      <c r="L719" s="16"/>
      <c r="M719" s="119">
        <f>IFERROR(__xludf.DUMMYFUNCTION("""COMPUTED_VALUE"""),75000.0)</f>
        <v>75000</v>
      </c>
      <c r="N719" s="16"/>
      <c r="O719" s="16"/>
      <c r="P719" s="16"/>
      <c r="Q719" s="16"/>
      <c r="R719" s="16"/>
      <c r="S719" s="16"/>
      <c r="T719" s="16"/>
      <c r="U719" s="16"/>
      <c r="V719" s="16"/>
      <c r="W719" s="16"/>
      <c r="X719" s="16"/>
      <c r="Y719" s="16"/>
      <c r="Z719" s="16"/>
      <c r="AA719" s="16"/>
      <c r="AB719" s="16"/>
      <c r="AC719" s="119">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8">
        <f>IFERROR(__xludf.DUMMYFUNCTION("""COMPUTED_VALUE"""),7.98E8)</f>
        <v>798000000</v>
      </c>
      <c r="G720" s="16" t="str">
        <f>IFERROR(__xludf.DUMMYFUNCTION("""COMPUTED_VALUE"""),"DMG")</f>
        <v>DMG</v>
      </c>
      <c r="H720" s="119">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9">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8">
        <f>IFERROR(__xludf.DUMMYFUNCTION("""COMPUTED_VALUE"""),1.1175E8)</f>
        <v>111750000</v>
      </c>
      <c r="G721" s="16" t="str">
        <f>IFERROR(__xludf.DUMMYFUNCTION("""COMPUTED_VALUE"""),"DEF")</f>
        <v>DEF</v>
      </c>
      <c r="H721" s="119">
        <f>IFERROR(__xludf.DUMMYFUNCTION("""COMPUTED_VALUE"""),25000.0)</f>
        <v>25000</v>
      </c>
      <c r="I721" s="119">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9">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8">
        <f>IFERROR(__xludf.DUMMYFUNCTION("""COMPUTED_VALUE"""),1.1175E8)</f>
        <v>111750000</v>
      </c>
      <c r="G722" s="16" t="str">
        <f>IFERROR(__xludf.DUMMYFUNCTION("""COMPUTED_VALUE"""),"DEF")</f>
        <v>DEF</v>
      </c>
      <c r="H722" s="119">
        <f>IFERROR(__xludf.DUMMYFUNCTION("""COMPUTED_VALUE"""),25000.0)</f>
        <v>25000</v>
      </c>
      <c r="I722" s="119">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9">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8">
        <f>IFERROR(__xludf.DUMMYFUNCTION("""COMPUTED_VALUE"""),1.1175E8)</f>
        <v>111750000</v>
      </c>
      <c r="G723" s="16" t="str">
        <f>IFERROR(__xludf.DUMMYFUNCTION("""COMPUTED_VALUE"""),"DEF")</f>
        <v>DEF</v>
      </c>
      <c r="H723" s="119">
        <f>IFERROR(__xludf.DUMMYFUNCTION("""COMPUTED_VALUE"""),25000.0)</f>
        <v>25000</v>
      </c>
      <c r="I723" s="119">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9">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8">
        <f>IFERROR(__xludf.DUMMYFUNCTION("""COMPUTED_VALUE"""),1.1175E8)</f>
        <v>111750000</v>
      </c>
      <c r="G724" s="16" t="str">
        <f>IFERROR(__xludf.DUMMYFUNCTION("""COMPUTED_VALUE"""),"DEF")</f>
        <v>DEF</v>
      </c>
      <c r="H724" s="119">
        <f>IFERROR(__xludf.DUMMYFUNCTION("""COMPUTED_VALUE"""),25000.0)</f>
        <v>25000</v>
      </c>
      <c r="I724" s="119">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9">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8">
        <f>IFERROR(__xludf.DUMMYFUNCTION("""COMPUTED_VALUE"""),1.1175E8)</f>
        <v>111750000</v>
      </c>
      <c r="G725" s="16" t="str">
        <f>IFERROR(__xludf.DUMMYFUNCTION("""COMPUTED_VALUE"""),"DEF")</f>
        <v>DEF</v>
      </c>
      <c r="H725" s="119">
        <f>IFERROR(__xludf.DUMMYFUNCTION("""COMPUTED_VALUE"""),25000.0)</f>
        <v>25000</v>
      </c>
      <c r="I725" s="119">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9">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8">
        <f>IFERROR(__xludf.DUMMYFUNCTION("""COMPUTED_VALUE"""),1.1175E8)</f>
        <v>111750000</v>
      </c>
      <c r="G726" s="16" t="str">
        <f>IFERROR(__xludf.DUMMYFUNCTION("""COMPUTED_VALUE"""),"DEF")</f>
        <v>DEF</v>
      </c>
      <c r="H726" s="119">
        <f>IFERROR(__xludf.DUMMYFUNCTION("""COMPUTED_VALUE"""),25000.0)</f>
        <v>25000</v>
      </c>
      <c r="I726" s="119">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9">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8">
        <f>IFERROR(__xludf.DUMMYFUNCTION("""COMPUTED_VALUE"""),1.77E7)</f>
        <v>17700000</v>
      </c>
      <c r="G727" s="16" t="str">
        <f>IFERROR(__xludf.DUMMYFUNCTION("""COMPUTED_VALUE"""),"DMG")</f>
        <v>DMG</v>
      </c>
      <c r="H727" s="119">
        <f>IFERROR(__xludf.DUMMYFUNCTION("""COMPUTED_VALUE"""),20000.0)</f>
        <v>20000</v>
      </c>
      <c r="I727" s="16"/>
      <c r="J727" s="16"/>
      <c r="K727" s="16"/>
      <c r="L727" s="16"/>
      <c r="M727" s="16"/>
      <c r="N727" s="119">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8">
        <f>IFERROR(__xludf.DUMMYFUNCTION("""COMPUTED_VALUE"""),1.77E7)</f>
        <v>17700000</v>
      </c>
      <c r="G728" s="16" t="str">
        <f>IFERROR(__xludf.DUMMYFUNCTION("""COMPUTED_VALUE"""),"DEF")</f>
        <v>DEF</v>
      </c>
      <c r="H728" s="119">
        <f>IFERROR(__xludf.DUMMYFUNCTION("""COMPUTED_VALUE"""),20000.0)</f>
        <v>20000</v>
      </c>
      <c r="I728" s="16"/>
      <c r="J728" s="16"/>
      <c r="K728" s="16"/>
      <c r="L728" s="16"/>
      <c r="M728" s="16"/>
      <c r="N728" s="119">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8">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8">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8">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8">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8">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8">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8">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8">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8">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8">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8">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8">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8">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8">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8">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8">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8">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8">
        <f>IFERROR(__xludf.DUMMYFUNCTION("""COMPUTED_VALUE"""),4.656E7)</f>
        <v>46560000</v>
      </c>
      <c r="G746" s="16" t="str">
        <f>IFERROR(__xludf.DUMMYFUNCTION("""COMPUTED_VALUE"""),"DEF")</f>
        <v>DEF</v>
      </c>
      <c r="H746" s="119">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8">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8">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8">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8">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8">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8">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8">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8">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8">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8">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8">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8">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8">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8">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8">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8">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8">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8">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8">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8">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8">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8">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8">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8">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8">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8">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8">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8">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8">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8">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8">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8">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8">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8">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8">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8">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8">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8">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8">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8">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8">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8">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8">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8">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8">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8">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8">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8">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8">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8">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8">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8">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8">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8">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8">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8">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8">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8">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8">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8">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8">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8">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8">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8">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8">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8">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8">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8">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8">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8">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8">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8">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8">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8">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8">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8">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8">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8">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8">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8">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8">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8">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8">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8">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8">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8">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8">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8">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8">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8">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8">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8">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8">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8">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8">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8">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8">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8">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8">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8">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8">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8">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8">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8">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8">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8">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8">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8">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8">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8">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8">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8">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8">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8">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8">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8">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8">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8">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8">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8">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8">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8">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8">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8">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8">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8">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8">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8">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8">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8">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8">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8">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8">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8">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8">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8">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8">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8">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8">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8">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8">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8">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8">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8">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8">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8">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8">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8">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8">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8">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8">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8">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8">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8">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8">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8">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8">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8">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8">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8">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8">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8">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8">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8">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8">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8">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8">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8">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8">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8">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8">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8">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8">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8">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8">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8">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8">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8">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8">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8">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8">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8">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8">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8">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8">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8">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8">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8">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8">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8">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8">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8">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8">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8">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8">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8">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8">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8">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8">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8">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8">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8">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8">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8">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8">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8">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8">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8">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8">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8">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8">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8">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8">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8">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8">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8">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8">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8">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8">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8">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8">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8">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8">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8">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8">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8">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8">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8">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8">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8">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8">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8">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8">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8">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8">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8">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8">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8">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8">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8">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8">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8">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8">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8">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8">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8">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8">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8">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8">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8">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8">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8">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8">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8">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8">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8">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8">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8">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8">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8">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8">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8">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8">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8">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8">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8">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8">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8">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8">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8">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8">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8">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8">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8">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8">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8">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8">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8">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8">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8">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8">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8">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8">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8">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8">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8">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8">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8">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8">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8">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8">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8">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8">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8">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8">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8">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8">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8">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8">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8">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8">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8">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8">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8">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8">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8">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8">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8">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8">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8">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8">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8">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8">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8">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8">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8">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8">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8">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8">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8">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8">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8">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8">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8">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8">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8">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8">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8">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8">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8">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8">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8">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8">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8">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8">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8">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8">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8">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8">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8">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8">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8">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8">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8">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8">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8">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8">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8">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8">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8">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8">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8">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8">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8">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8">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8">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8">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8">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8">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8">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8">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8">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8">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8">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8">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8">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8">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8">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8">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8">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8">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8">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8">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8">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8">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8">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8">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8">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8">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8">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8">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8">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8">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8">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8">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8">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8">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8">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8">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8">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8">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8">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8">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8">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8">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8">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8">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8">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8">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8">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8">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8">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8">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8">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8">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8">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8">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8">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8">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8">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8">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8">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8">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8">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8">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8">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8">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8">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8">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8">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8">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8">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8">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8">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8">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8">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8">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8">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8">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8">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8">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8">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8">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8">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8">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8">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8">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8">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8">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8">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8">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8">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8">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8">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8">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8">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8">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8">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8">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8">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8">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8">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8">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8">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8">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8">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8">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8">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8">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8">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8">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8">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8">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8">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8">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8">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8">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8">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8">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8">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8">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8">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8">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8">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8">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8">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8">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8">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8">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8">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8">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8">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8">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8">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8">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8">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8">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8">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8">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8">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8">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8">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8">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8">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8">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8">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8">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8">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8">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8">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8">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8">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8">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8">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8">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8">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8">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8">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8">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8">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8">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8">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8">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8">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8">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8">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8">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8">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8">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8">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8">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8">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8">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8">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8">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8">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8">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8">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8">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8">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8">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8">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8">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8">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8">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8">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8">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8">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8">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8">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8">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8">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8">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8">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8">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8">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8">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8">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8">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8">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8">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8">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8">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8">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8">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8">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8">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8">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8">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8">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8">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8">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8">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8">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8">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8">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8">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8">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8">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8">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8">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8">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8">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8">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8">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8">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8">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8">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8">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8">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8">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8">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8">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8">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8">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8">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8">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8">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8">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8">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8">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8">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8">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8">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8">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8">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8">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8">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8">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8">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8">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8">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8">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8">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8">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8">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8">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8">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8">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8">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8">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8">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8">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8">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8">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8">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8">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8">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8">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8">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8">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8">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8">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8">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8">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8">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8">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8">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8">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8">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8">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8">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8">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8">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8">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8">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8">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8">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8">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8">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8">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8">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8">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8">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8">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8">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8">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8">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8">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8">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8">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8">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8">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8">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8">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8">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8">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8">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8">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8">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8">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8">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8">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8">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8">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8">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8">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8">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8">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8">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8">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8">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8">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8">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8">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8">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8">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8">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8">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8">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8">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8">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8">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8">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8">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8">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8">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8">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8">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8">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8">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8">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8">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8">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8">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8">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8">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8">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8">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8">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8">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8">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8">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8">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8">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8">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8">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8">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8">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8">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8">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8">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8">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8">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8">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8">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8">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8">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8">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8">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8">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8">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8">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8">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8">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8">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8">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8">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8">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8">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8">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8">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8">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8">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8">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8">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8">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8">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8">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8">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8">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8">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8">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8">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8">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8">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8">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8">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8">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8">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8">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8">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8">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8">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8">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8">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8">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8">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8">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8">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8">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8">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8">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8">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8">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8">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8">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8">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8">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8">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8">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8">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8">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8">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8">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8">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8">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8">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8">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8">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8">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8">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8">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8">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8">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8">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8">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8">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8">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8">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8">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8">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8">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8">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8">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8">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8">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8">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8">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8">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8">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8">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8">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8">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8">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8">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8">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8">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8">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8">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8">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8">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8">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8">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8">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8">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8">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8">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8">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8">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8">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8">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8">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8">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8">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8">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8">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8">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8">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8">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8">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8">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8">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8">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8">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8">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8">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8">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8">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8">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8">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8">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8">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8">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8">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8">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8">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8">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8">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8">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8">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8">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8">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8">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8">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8">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8">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8">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8">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8">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8">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8">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8">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8">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8">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8">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8">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8">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8">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8">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8">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8">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8">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8">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8">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8">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8">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8">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8">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8">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8">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8">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8">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8">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8">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8">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8">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8">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8">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8">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8">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8">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8">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8">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8">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8">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8">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8">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8">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8">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8">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8">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8">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8">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8">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8">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8">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8">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8">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8">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8">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8">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8">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8">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8">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8">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8">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8">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8">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8">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8">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8">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8">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8">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8">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8">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8">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8">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8">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8">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8">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8">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8">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8">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8">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8">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8">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8">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8">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8">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8">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8">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8">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8">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8">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8">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8">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8">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8">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8">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8">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8">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8">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8">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8">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8">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8">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8">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8">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8">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8">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8">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8">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8">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8">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8">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8">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8">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8">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8">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8">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8">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8">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8">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8">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8">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8">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8">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8">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8">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8">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8">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8">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8">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8">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8">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8">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8">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8">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8">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8">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8">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8">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8">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8">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8">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8">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8">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8">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8">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8">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8">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8">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8">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8">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8">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8">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8">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8">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8">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8">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8">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8">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8">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8">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8">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8">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8">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8">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8">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8">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8">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8">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8">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8">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8">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8">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8">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8">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8">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8">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8">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8">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8">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8">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8">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8">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8">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8">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8">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8">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8">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8">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8">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8">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8">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225</v>
      </c>
      <c r="E1" s="97" t="s">
        <v>226</v>
      </c>
      <c r="F1" s="97" t="s">
        <v>27</v>
      </c>
      <c r="G1" s="97" t="s">
        <v>227</v>
      </c>
    </row>
    <row r="2">
      <c r="A2" s="122"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