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<sst xmlns="http://schemas.openxmlformats.org/spreadsheetml/2006/main" count="391" uniqueCount="272">
  <si>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</si>
  <si>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</si>
  <si>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</si>
  <si>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</si>
  <si>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</si>
  <si>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</si>
  <si>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</si>
  <si>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</si>
  <si>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</si>
  <si>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</si>
  <si>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</si>
  <si>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</si>
  <si>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</si>
  <si>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</si>
  <si>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</si>
  <si>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</si>
  <si>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</si>
  <si>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</si>
  <si>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</si>
  <si>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</si>
  <si>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</si>
  <si>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</si>
  <si>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</si>
  <si>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</si>
  <si>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</si>
  <si>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</si>
  <si>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</si>
  <si>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</si>
  <si>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</si>
  <si>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</si>
  <si>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</si>
  <si>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</si>
  <si>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</si>
  <si>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</si>
  <si>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</si>
  <si>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</si>
  <si>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</si>
  <si>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</si>
  <si>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</si>
  <si>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</si>
  <si>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</si>
  <si>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Fire Sword</t>
  </si>
  <si>
    <t>Hand</t>
  </si>
  <si>
    <t>🖐 (1) R. Hand:</t>
  </si>
  <si>
    <t>Blue Steel Sword</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</si>
  <si>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</si>
  <si>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</si>
  <si>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</si>
  <si>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</si>
  <si>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</si>
  <si>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</si>
  <si>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</si>
  <si>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</si>
  <si>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</si>
  <si>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</si>
  <si>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</si>
  <si>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</si>
  <si>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</si>
  <si>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</si>
  <si>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</si>
  <si>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</si>
  <si>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</si>
  <si>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</si>
  <si>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</si>
  <si>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</si>
  <si>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</si>
  <si>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</si>
  <si>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</si>
  <si>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</si>
  <si>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</si>
  <si>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</si>
  <si>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</si>
  <si>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</si>
  <si>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</si>
  <si>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</si>
  <si>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</si>
  <si>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</si>
  <si>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</si>
  <si>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</si>
  <si>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</si>
  <si>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</si>
  <si>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</si>
  <si>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</si>
  <si>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</si>
  <si>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</si>
  <si>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</si>
  <si>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</si>
  <si>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Dwarf</t>
  </si>
  <si>
    <t>Half Class</t>
  </si>
  <si>
    <t>Class:</t>
  </si>
  <si>
    <t>Monk</t>
  </si>
  <si>
    <t>Half Race:</t>
  </si>
  <si>
    <t>Half Class:</t>
  </si>
  <si>
    <t>Viking</t>
  </si>
  <si>
    <t>Fire</t>
  </si>
  <si>
    <t>Enhanced Class:</t>
  </si>
  <si>
    <t>Grand Abbot</t>
  </si>
  <si>
    <t>Water</t>
  </si>
  <si>
    <t>Starting Town:</t>
  </si>
  <si>
    <t>Spell Slots Number:</t>
  </si>
  <si>
    <t>Enhanced Half Class:</t>
  </si>
  <si>
    <t>Warlord</t>
  </si>
  <si>
    <t>Storm</t>
  </si>
  <si>
    <t>HP</t>
  </si>
  <si>
    <t>Character Name:</t>
  </si>
  <si>
    <t>Master Blacksmith (Change Name)</t>
  </si>
  <si>
    <t>Select Element1:</t>
  </si>
  <si>
    <t>Earth</t>
  </si>
  <si>
    <t>SP</t>
  </si>
  <si>
    <t>Sex:</t>
  </si>
  <si>
    <t>Astrological Sign:</t>
  </si>
  <si>
    <t>Taurus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</si>
  <si>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</si>
  <si>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</si>
  <si>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</si>
  <si>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</si>
  <si>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</si>
  <si>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</si>
  <si>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</si>
  <si>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</si>
  <si>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</si>
  <si>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</si>
  <si>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</si>
  <si>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</si>
  <si>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</si>
  <si>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</si>
  <si>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</si>
  <si>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</si>
  <si>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</si>
  <si>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</si>
  <si>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</si>
  <si>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</si>
  <si>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</si>
  <si>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</si>
  <si>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</si>
  <si>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</si>
  <si>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</si>
  <si>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</si>
  <si>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</si>
  <si>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</si>
  <si>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</si>
  <si>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</si>
  <si>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</si>
  <si>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</si>
  <si>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</si>
  <si>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</si>
  <si>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</si>
  <si>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</si>
  <si>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</si>
  <si>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</si>
  <si>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</si>
  <si>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</si>
  <si>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Guardians of The Forge</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</si>
  <si>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</si>
  <si>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</si>
  <si>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</si>
  <si>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</si>
  <si>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</si>
  <si>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</si>
  <si>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</si>
  <si>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</si>
  <si>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</si>
  <si>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</si>
  <si>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</si>
  <si>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</si>
  <si>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</si>
  <si>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</si>
  <si>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</si>
  <si>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</si>
  <si>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</si>
  <si>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</si>
  <si>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</si>
  <si>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</si>
  <si>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</si>
  <si>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</si>
  <si>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</si>
  <si>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</si>
  <si>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</si>
  <si>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</si>
  <si>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</si>
  <si>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</si>
  <si>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</si>
  <si>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</si>
  <si>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</si>
  <si>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</si>
  <si>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</si>
  <si>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</si>
  <si>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</si>
  <si>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</si>
  <si>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</si>
  <si>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</si>
  <si>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</si>
  <si>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</si>
  <si>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</si>
  <si>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</si>
  <si>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</si>
  <si>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</si>
  <si>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</si>
  <si>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</si>
  <si>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</si>
  <si>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</si>
  <si>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</si>
  <si>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</si>
  <si>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</si>
  <si>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</si>
  <si>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</si>
  <si>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</si>
  <si>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</si>
  <si>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</si>
  <si>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</si>
  <si>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</si>
  <si>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</si>
  <si>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</si>
  <si>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</si>
  <si>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</si>
  <si>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</si>
  <si>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</si>
  <si>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</si>
  <si>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</si>
  <si>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Good Fortune</t>
  </si>
  <si>
    <t>Berserk</t>
  </si>
  <si>
    <t>Parry</t>
  </si>
  <si>
    <t>Chaincast</t>
  </si>
  <si>
    <t>Confiscate</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</si>
  <si>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</si>
  <si>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</si>
  <si>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</si>
  <si>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</si>
  <si>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</si>
  <si>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</si>
  <si>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</si>
  <si>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</si>
  <si>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</si>
  <si>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</si>
  <si>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</si>
  <si>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</si>
  <si>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Sword</t>
  </si>
  <si>
    <t>DMG: +1000, Water DMG: +1000</t>
  </si>
  <si>
    <t>DMG: +5000, Fire DMG: +5000 +X2 Additional Fire damage. Burn 2500. Cannot be duplicated.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</si>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</sst>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4" numFmtId="0" xfId="0" applyAlignment="1" applyFont="1">
      <alignmen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9716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Master Blacksmith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Dwarf</v>
      </c>
      <c r="C10" s="2"/>
      <c r="D10" s="13" t="str">
        <f>"🏹 Class: "&amp;IF(Leveler!I2,Leveler!K1&amp;CHAR(10)&amp;"Half Class: "&amp;Leveler!K2,Leveler!K1)</f>
        <v>🏹 Class: Monk
Half Class: Viking</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7</v>
      </c>
      <c r="C12" s="11" t="str">
        <f>"❤️[P] Constitution: "&amp;Leveler!G20+G15</f>
        <v>❤️[P] Constitution: 81</v>
      </c>
      <c r="D12" s="11" t="str">
        <f>"🏃‍♀️[P] Evasion: "&amp;Leveler!H20+H15</f>
        <v>🏃‍♀️[P] Evasion: 5</v>
      </c>
      <c r="E12" s="11" t="str">
        <f>"😈[P] Intimidation: "&amp;Leveler!I20+I15</f>
        <v>😈[P] Intimidation: 5</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624/624</v>
      </c>
      <c r="C14" s="2"/>
      <c r="D14" s="24" t="str">
        <f>"🧪 SP: "&amp;Leveler!C23-G11&amp;"/"&amp;Leveler!C23</f>
        <v>🧪 SP: 624/624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Taurus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+6 Constitution, +2 Wisdom, 
Starts with the ability Blacksmith
+5 to forging rolls.
Can roll a d40 when attacking with a forged weapon.
Has dark-vision</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25% chance to be unaffected by weapon damage.
Forged weapons deal X4 damage for the user.
Enhanced Class Bonuses: Rank 9 in all elements (excluding Acoustic)
40% chance to take no damage from weapon attacks.
Gains 10 charisma when trying to persuade a guard.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t="s">
        <v>41</v>
      </c>
      <c r="D42" s="16" t="str">
        <f>IFERROR(VLOOKUP($C42,Backpack!$B$10:$G1019,MATCH(D$34,Backpack!$B$9:$G$9,0),FALSE),"")</f>
        <v/>
      </c>
      <c r="E42" s="16" t="str">
        <f>IFERROR(VLOOKUP($C42,Backpack!$B$10:$G1019,MATCH(E$34,Backpack!$B$9:$G$9,0),FALSE),"")</f>
        <v>Sword</v>
      </c>
      <c r="F42" s="16" t="str">
        <f>IFERROR(VLOOKUP($C42,Backpack!$B$10:$G1019,MATCH(F$34,Backpack!$B$9:$G$9,0),FALSE),"")</f>
        <v>DMG: +5000, Fire DMG: +5000 +X2 Additional Fire damage. Burn 2500. Cannot be duplicated.</v>
      </c>
      <c r="G42" s="42"/>
      <c r="H42" s="42"/>
      <c r="I42" s="42"/>
      <c r="J42" s="37"/>
      <c r="K42" s="37"/>
      <c r="L42" s="37"/>
      <c r="T42" s="14" t="s">
        <v>42</v>
      </c>
      <c r="U42" s="16" t="b">
        <f>IF(ISBLANK($C42),"",IF(IFERROR(VLOOKUP($C42,Backpack!$B$10:$G1019,MATCH("Slot",Backpack!$B$9:$G$9,0),FALSE),"")=T42,FALSE,TRUE))</f>
        <v>0</v>
      </c>
      <c r="V42" s="16" t="b">
        <f>IF(ISBLANK($C42),"",IF(Value(IFERROR(VLOOKUP($C42,Backpack!$B$10:$G1019,MATCH("Level Requirement",Backpack!$B$9:$G$9,0),FALSE),""))&gt;Leveler!$B$13,TRUE,FALSE))</f>
        <v>0</v>
      </c>
    </row>
    <row r="43">
      <c r="B43" s="40" t="s">
        <v>43</v>
      </c>
      <c r="C43" s="41" t="s">
        <v>44</v>
      </c>
      <c r="D43" s="16" t="str">
        <f>IFERROR(VLOOKUP($C43,Backpack!$B$10:$G1019,MATCH(D$34,Backpack!$B$9:$G$9,0),FALSE),"")</f>
        <v/>
      </c>
      <c r="E43" s="16" t="str">
        <f>IFERROR(VLOOKUP($C43,Backpack!$B$10:$G1019,MATCH(E$34,Backpack!$B$9:$G$9,0),FALSE),"")</f>
        <v>Sword</v>
      </c>
      <c r="F43" s="16" t="str">
        <f>IFERROR(VLOOKUP($C43,Backpack!$B$10:$G1019,MATCH(F$34,Backpack!$B$9:$G$9,0),FALSE),"")</f>
        <v>DMG: +1000, Water DMG: +1000</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45</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46</v>
      </c>
      <c r="U44" s="16" t="str">
        <f>IF(ISBLANK($C44),"",IF(IFERROR(VLOOKUP($C44,Backpack!$B$10:$G1019,MATCH("Slot",Backpack!$B$9:$G$9,0),FALSE),"")=T44,FALSE,TRUE))</f>
        <v/>
      </c>
      <c r="V44" s="16" t="str">
        <f>IF(ISBLANK($C44),"",IF(Value(IFERROR(VLOOKUP($C44,Backpack!$B$10:$G1019,MATCH("Level Requirement",Backpack!$B$9:$G$9,0),FALSE),""))&gt;Leveler!$B$13,TRUE,FALSE))</f>
        <v/>
      </c>
    </row>
    <row r="45">
      <c r="B45" s="40" t="s">
        <v>47</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46</v>
      </c>
      <c r="U45" s="16" t="str">
        <f>IF(ISBLANK($C45),"",IF(IFERROR(VLOOKUP($C45,Backpack!$B$10:$G1019,MATCH("Slot",Backpack!$B$9:$G$9,0),FALSE),"")=T45,FALSE,TRUE))</f>
        <v/>
      </c>
      <c r="V45" s="16" t="str">
        <f>IF(ISBLANK($C45),"",IF(Value(IFERROR(VLOOKUP($C45,Backpack!$B$10:$G1019,MATCH("Level Requirement",Backpack!$B$9:$G$9,0),FALSE),""))&gt;Leveler!$B$13,TRUE,FALSE))</f>
        <v/>
      </c>
    </row>
    <row r="46">
      <c r="B46" s="40" t="s">
        <v>48</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46</v>
      </c>
      <c r="U46" s="16" t="str">
        <f>IF(ISBLANK($C46),"",IF(IFERROR(VLOOKUP($C46,Backpack!$B$10:$G1019,MATCH("Slot",Backpack!$B$9:$G$9,0),FALSE),"")=T46,FALSE,TRUE))</f>
        <v/>
      </c>
      <c r="V46" s="16" t="str">
        <f>IF(ISBLANK($C46),"",IF(Value(IFERROR(VLOOKUP($C46,Backpack!$B$10:$G1019,MATCH("Level Requirement",Backpack!$B$9:$G$9,0),FALSE),""))&gt;Leveler!$B$13,TRUE,FALSE))</f>
        <v/>
      </c>
    </row>
    <row r="47">
      <c r="B47" s="40" t="s">
        <v>49</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46</v>
      </c>
      <c r="U47" s="16" t="str">
        <f>IF(ISBLANK($C47),"",IF(IFERROR(VLOOKUP($C47,Backpack!$B$10:$G1019,MATCH("Slot",Backpack!$B$9:$G$9,0),FALSE),"")=T47,FALSE,TRUE))</f>
        <v/>
      </c>
      <c r="V47" s="16" t="str">
        <f>IF(ISBLANK($C47),"",IF(Value(IFERROR(VLOOKUP($C47,Backpack!$B$10:$G1019,MATCH("Level Requirement",Backpack!$B$9:$G$9,0),FALSE),""))&gt;Leveler!$B$13,TRUE,FALSE))</f>
        <v/>
      </c>
    </row>
    <row r="48">
      <c r="B48" s="40" t="s">
        <v>50</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46</v>
      </c>
      <c r="U48" s="16" t="str">
        <f>IF(ISBLANK($C48),"",IF(IFERROR(VLOOKUP($C48,Backpack!$B$10:$G1019,MATCH("Slot",Backpack!$B$9:$G$9,0),FALSE),"")=T48,FALSE,TRUE))</f>
        <v/>
      </c>
      <c r="V48" s="16" t="str">
        <f>IF(ISBLANK($C48),"",IF(Value(IFERROR(VLOOKUP($C48,Backpack!$B$10:$G1019,MATCH("Level Requirement",Backpack!$B$9:$G$9,0),FALSE),""))&gt;Leveler!$B$13,TRUE,FALSE))</f>
        <v/>
      </c>
    </row>
    <row r="49">
      <c r="B49" s="40" t="s">
        <v>51</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46</v>
      </c>
      <c r="U49" s="16" t="str">
        <f>IF(ISBLANK($C49),"",IF(IFERROR(VLOOKUP($C49,Backpack!$B$10:$G1019,MATCH("Slot",Backpack!$B$9:$G$9,0),FALSE),"")=T49,FALSE,TRUE))</f>
        <v/>
      </c>
      <c r="V49" s="16" t="str">
        <f>IF(ISBLANK($C49),"",IF(Value(IFERROR(VLOOKUP($C49,Backpack!$B$10:$G1019,MATCH("Level Requirement",Backpack!$B$9:$G$9,0),FALSE),""))&gt;Leveler!$B$13,TRUE,FALSE))</f>
        <v/>
      </c>
    </row>
    <row r="50">
      <c r="B50" s="40" t="s">
        <v>52</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46</v>
      </c>
      <c r="U50" s="16" t="str">
        <f>IF(ISBLANK($C50),"",IF(IFERROR(VLOOKUP($C50,Backpack!$B$10:$G1019,MATCH("Slot",Backpack!$B$9:$G$9,0),FALSE),"")=T50,FALSE,TRUE))</f>
        <v/>
      </c>
      <c r="V50" s="16" t="str">
        <f>IF(ISBLANK($C50),"",IF(Value(IFERROR(VLOOKUP($C50,Backpack!$B$10:$G1019,MATCH("Level Requirement",Backpack!$B$9:$G$9,0),FALSE),""))&gt;Leveler!$B$13,TRUE,FALSE))</f>
        <v/>
      </c>
    </row>
    <row r="51">
      <c r="B51" s="40" t="s">
        <v>53</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46</v>
      </c>
      <c r="U51" s="16" t="str">
        <f>IF(ISBLANK($C51),"",IF(IFERROR(VLOOKUP($C51,Backpack!$B$10:$G1019,MATCH("Slot",Backpack!$B$9:$G$9,0),FALSE),"")=T51,FALSE,TRUE))</f>
        <v/>
      </c>
      <c r="V51" s="16" t="str">
        <f>IF(ISBLANK($C51),"",IF(Value(IFERROR(VLOOKUP($C51,Backpack!$B$10:$G1019,MATCH("Level Requirement",Backpack!$B$9:$G$9,0),FALSE),""))&gt;Leveler!$B$13,TRUE,FALSE))</f>
        <v/>
      </c>
    </row>
    <row r="52">
      <c r="B52" s="40" t="s">
        <v>54</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46</v>
      </c>
      <c r="U52" s="16" t="str">
        <f>IF(ISBLANK($C52),"",IF(IFERROR(VLOOKUP($C52,Backpack!$B$10:$G1019,MATCH("Slot",Backpack!$B$9:$G$9,0),FALSE),"")=T52,FALSE,TRUE))</f>
        <v/>
      </c>
      <c r="V52" s="16" t="str">
        <f>IF(ISBLANK($C52),"",IF(Value(IFERROR(VLOOKUP($C52,Backpack!$B$10:$G1019,MATCH("Level Requirement",Backpack!$B$9:$G$9,0),FALSE),""))&gt;Leveler!$B$13,TRUE,FALSE))</f>
        <v/>
      </c>
    </row>
    <row r="53">
      <c r="B53" s="40" t="s">
        <v>55</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46</v>
      </c>
      <c r="U53" s="16" t="str">
        <f>IF(ISBLANK($C53),"",IF(IFERROR(VLOOKUP($C53,Backpack!$B$10:$G1019,MATCH("Slot",Backpack!$B$9:$G$9,0),FALSE),"")=T53,FALSE,TRUE))</f>
        <v/>
      </c>
      <c r="V53" s="16" t="str">
        <f>IF(ISBLANK($C53),"",IF(Value(IFERROR(VLOOKUP($C53,Backpack!$B$10:$G1019,MATCH("Level Requirement",Backpack!$B$9:$G$9,0),FALSE),""))&gt;Leveler!$B$13,TRUE,FALSE))</f>
        <v/>
      </c>
    </row>
    <row r="54">
      <c r="B54" s="40" t="s">
        <v>56</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57</v>
      </c>
      <c r="U54" s="16" t="str">
        <f>IF(ISBLANK($C54),"",IF(IFERROR(VLOOKUP($C54,Backpack!$B$10:$G1019,MATCH("Slot",Backpack!$B$9:$G$9,0),FALSE),"")=T54,FALSE,TRUE))</f>
        <v/>
      </c>
      <c r="V54" s="16" t="str">
        <f>IF(ISBLANK($C54),"",IF(Value(IFERROR(VLOOKUP($C54,Backpack!$B$10:$G1019,MATCH("Level Requirement",Backpack!$B$9:$G$9,0),FALSE),""))&gt;Leveler!$B$13,TRUE,FALSE))</f>
        <v/>
      </c>
    </row>
    <row r="55">
      <c r="B55" s="40" t="s">
        <v>58</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59</v>
      </c>
      <c r="U55" s="16" t="str">
        <f>IF(ISBLANK($C55),"",IF(IFERROR(VLOOKUP($C55,Backpack!$B$10:$G1019,MATCH("Slot",Backpack!$B$9:$G$9,0),FALSE),"")=T55,FALSE,TRUE))</f>
        <v/>
      </c>
      <c r="V55" s="16" t="str">
        <f>IF(ISBLANK($C55),"",IF(Value(IFERROR(VLOOKUP($C55,Backpack!$B$10:$G1019,MATCH("Level Requirement",Backpack!$B$9:$G$9,0),FALSE),""))&gt;Leveler!$B$13,TRUE,FALSE))</f>
        <v/>
      </c>
    </row>
    <row r="57">
      <c r="B57" s="45" t="s">
        <v>60</v>
      </c>
    </row>
    <row r="58">
      <c r="B58" s="46" t="s">
        <v>61</v>
      </c>
      <c r="C58" s="14" t="b">
        <v>1</v>
      </c>
      <c r="D58" s="46" t="s">
        <v>62</v>
      </c>
      <c r="E58" s="14" t="b">
        <v>0</v>
      </c>
    </row>
    <row r="59">
      <c r="B59" s="47" t="s">
        <v>63</v>
      </c>
      <c r="C59" s="48">
        <v>1.0</v>
      </c>
      <c r="D59" s="49" t="s">
        <v>63</v>
      </c>
    </row>
    <row r="60">
      <c r="B60" s="46"/>
    </row>
    <row r="61">
      <c r="B61" s="46" t="s">
        <v>64</v>
      </c>
      <c r="C61" s="14" t="b">
        <v>0</v>
      </c>
      <c r="D61" s="46" t="s">
        <v>65</v>
      </c>
      <c r="E61" s="14" t="b">
        <v>0</v>
      </c>
    </row>
    <row r="62">
      <c r="B62" s="47" t="s">
        <v>63</v>
      </c>
      <c r="D62" s="49" t="s">
        <v>63</v>
      </c>
    </row>
    <row r="63">
      <c r="B63" s="46"/>
    </row>
    <row r="64">
      <c r="B64" s="46" t="s">
        <v>66</v>
      </c>
      <c r="C64" s="14" t="b">
        <v>0</v>
      </c>
      <c r="D64" s="46" t="s">
        <v>67</v>
      </c>
      <c r="E64" s="14" t="b">
        <v>0</v>
      </c>
    </row>
    <row r="65">
      <c r="B65" s="47" t="s">
        <v>63</v>
      </c>
      <c r="D65" s="49" t="s">
        <v>63</v>
      </c>
    </row>
    <row r="66">
      <c r="B66" s="46"/>
    </row>
    <row r="67">
      <c r="B67" s="46" t="s">
        <v>68</v>
      </c>
      <c r="C67" s="14" t="b">
        <v>0</v>
      </c>
      <c r="D67" s="46" t="s">
        <v>69</v>
      </c>
      <c r="E67" s="14" t="b">
        <v>0</v>
      </c>
    </row>
    <row r="68">
      <c r="B68" s="47" t="s">
        <v>63</v>
      </c>
      <c r="D68" s="49" t="s">
        <v>63</v>
      </c>
    </row>
    <row r="69">
      <c r="B69" s="46"/>
    </row>
    <row r="70">
      <c r="B70" s="46" t="s">
        <v>70</v>
      </c>
      <c r="C70" s="14" t="b">
        <v>0</v>
      </c>
      <c r="D70" s="46" t="s">
        <v>71</v>
      </c>
      <c r="E70" s="14" t="b">
        <v>0</v>
      </c>
    </row>
    <row r="71">
      <c r="B71" s="47" t="s">
        <v>72</v>
      </c>
      <c r="C71" s="16"/>
      <c r="D71" s="49" t="s">
        <v>63</v>
      </c>
    </row>
    <row r="72">
      <c r="B72" s="47" t="s">
        <v>73</v>
      </c>
    </row>
    <row r="73">
      <c r="B73" s="50" t="str">
        <f>HYPERLINK("https://docs.google.com/spreadsheets/d/1eSUtUwW_74KQVD7cwEk5N1aAXJ6VaYm26Np7dzqyft8", "Wanted Board")</f>
        <v>Wanted Board</v>
      </c>
    </row>
    <row r="74">
      <c r="B74" s="51"/>
    </row>
    <row r="75">
      <c r="B75" s="51"/>
    </row>
    <row r="76">
      <c r="B76" s="52" t="s">
        <v>74</v>
      </c>
      <c r="C76" s="38" t="s">
        <v>75</v>
      </c>
      <c r="D76" s="38" t="s">
        <v>76</v>
      </c>
      <c r="E76" s="38" t="s">
        <v>25</v>
      </c>
      <c r="F76" s="38" t="s">
        <v>77</v>
      </c>
      <c r="H76" s="38" t="s">
        <v>78</v>
      </c>
      <c r="J76" s="38" t="s">
        <v>25</v>
      </c>
      <c r="K76" s="38" t="s">
        <v>79</v>
      </c>
      <c r="L76" s="38" t="s">
        <v>26</v>
      </c>
      <c r="M76" s="38" t="s">
        <v>80</v>
      </c>
    </row>
    <row r="77">
      <c r="B77" s="53" t="str">
        <f>IFERROR(__xludf.DUMMYFUNCTION("ifna(QUERY(Achievements!A2:G1019,""Select A where G = True""))"),"Welcome to The Land of Spira")</f>
        <v>Welcome to The Land of Spira</v>
      </c>
      <c r="C77" s="14" t="b">
        <v>0</v>
      </c>
      <c r="D77" s="54" t="str">
        <f>IFERROR(__xludf.DUMMYFUNCTION("ifna(ARRAYFORMULA(QUERY(to_text(NotorietyCombined!A2:G1019),""Select Col2,Col3,Col5 where Col1 = '""""""&amp;Leveler!F5&amp;""""""'"")))"),"")</f>
        <v/>
      </c>
      <c r="E77" s="55"/>
      <c r="F77" s="56"/>
      <c r="H77" s="57" t="str">
        <f>IFERROR(__xludf.DUMMYFUNCTION("ifna(QUERY(Quest_Tracker!A2:I1019,""Select A where G = True Or I = True""))"),"")</f>
        <v/>
      </c>
      <c r="I77" s="2"/>
      <c r="J77" s="58" t="str">
        <f>ifna(HYPERLINK("#gid=1523906944&amp;range="&amp;REPLACE(REPLACE(Address(CELL("row",VLOOKUP($H77,Quest_Tracker!$A$2:$B$900,2,FALSE)),CELL("col",VLOOKUP($H77,Quest_Tracker!$A$2:$B$900,2,FALSE))),1,1,""),2,1,""),VLOOKUP($H77,Quest_Tracker!$A$2:$B$900,2,FALSE)))</f>
        <v/>
      </c>
      <c r="K77" s="59" t="str">
        <f>ifna(VLOOKUP($H77,Quest_Tracker!$A$2:$I$900,9,FALSE))</f>
        <v/>
      </c>
      <c r="L77" s="59" t="str">
        <f>ifna(VLOOKUP($H77,Quest_Tracker!$A$2:$I$900,3,FALSE))</f>
        <v/>
      </c>
      <c r="M77" s="60" t="str">
        <f>ifna(VLOOKUP($H77,Quest_Tracker!$A$2:$I$900,4,FALSE))</f>
        <v/>
      </c>
    </row>
    <row r="78">
      <c r="B78" s="53"/>
      <c r="C78" s="14" t="b">
        <v>0</v>
      </c>
      <c r="D78" s="54"/>
      <c r="E78" s="55"/>
      <c r="F78" s="56"/>
      <c r="H78" s="57"/>
      <c r="I78" s="2"/>
      <c r="J78" s="34" t="str">
        <f>ifna(HYPERLINK("#gid=1523906944&amp;range="&amp;REPLACE(REPLACE(Address(CELL("row",VLOOKUP($H78,Quest_Tracker!$A$2:$B$900,2,FALSE)),CELL("col",VLOOKUP($H78,Quest_Tracker!$A$2:$B$900,2,FALSE))),1,1,""),2,1,""),VLOOKUP($H78,Quest_Tracker!$A$2:$B$900,2,FALSE)))</f>
        <v/>
      </c>
      <c r="K78" s="59" t="str">
        <f>ifna(VLOOKUP($H78,Quest_Tracker!$A$2:$I$900,9,FALSE))</f>
        <v/>
      </c>
      <c r="L78" s="59" t="str">
        <f>ifna(VLOOKUP($H78,Quest_Tracker!$A$2:$I$900,3,FALSE))</f>
        <v/>
      </c>
      <c r="M78" s="60" t="str">
        <f>ifna(VLOOKUP($H78,Quest_Tracker!$A$2:$I$900,4,FALSE))</f>
        <v/>
      </c>
      <c r="N78" s="61"/>
    </row>
    <row r="79">
      <c r="B79" s="53"/>
      <c r="C79" s="14" t="b">
        <v>0</v>
      </c>
      <c r="D79" s="54"/>
      <c r="E79" s="55"/>
      <c r="F79" s="56"/>
      <c r="H79" s="57"/>
      <c r="I79" s="2"/>
      <c r="J79" s="34" t="str">
        <f>ifna(HYPERLINK("#gid=1523906944&amp;range="&amp;REPLACE(REPLACE(Address(CELL("row",VLOOKUP($H79,Quest_Tracker!$A$2:$B$900,2,FALSE)),CELL("col",VLOOKUP($H79,Quest_Tracker!$A$2:$B$900,2,FALSE))),1,1,""),2,1,""),VLOOKUP($H79,Quest_Tracker!$A$2:$B$900,2,FALSE)))</f>
        <v/>
      </c>
      <c r="K79" s="59" t="str">
        <f>ifna(VLOOKUP($H79,Quest_Tracker!$A$2:$I$900,9,FALSE))</f>
        <v/>
      </c>
      <c r="L79" s="59" t="str">
        <f>ifna(VLOOKUP($H79,Quest_Tracker!$A$2:$I$900,3,FALSE))</f>
        <v/>
      </c>
      <c r="M79" s="60" t="str">
        <f>ifna(VLOOKUP($H79,Quest_Tracker!$A$2:$I$900,4,FALSE))</f>
        <v/>
      </c>
    </row>
    <row r="80">
      <c r="B80" s="62"/>
      <c r="C80" s="14" t="b">
        <v>0</v>
      </c>
      <c r="D80" s="54"/>
      <c r="E80" s="55"/>
      <c r="F80" s="56"/>
      <c r="H80" s="57"/>
      <c r="I80" s="2"/>
      <c r="J80" s="34" t="str">
        <f>ifna(HYPERLINK("#gid=1523906944&amp;range="&amp;REPLACE(REPLACE(Address(CELL("row",VLOOKUP($H80,Quest_Tracker!$A$2:$B$900,2,FALSE)),CELL("col",VLOOKUP($H80,Quest_Tracker!$A$2:$B$900,2,FALSE))),1,1,""),2,1,""),VLOOKUP($H80,Quest_Tracker!$A$2:$B$900,2,FALSE)))</f>
        <v/>
      </c>
      <c r="K80" s="59" t="str">
        <f>ifna(VLOOKUP($H80,Quest_Tracker!$A$2:$I$900,9,FALSE))</f>
        <v/>
      </c>
      <c r="L80" s="59" t="str">
        <f>ifna(VLOOKUP($H80,Quest_Tracker!$A$2:$I$900,3,FALSE))</f>
        <v/>
      </c>
      <c r="M80" s="60" t="str">
        <f>ifna(VLOOKUP($H80,Quest_Tracker!$A$2:$I$900,4,FALSE))</f>
        <v/>
      </c>
    </row>
    <row r="81">
      <c r="B81" s="62"/>
      <c r="C81" s="14" t="b">
        <v>0</v>
      </c>
      <c r="D81" s="54"/>
      <c r="E81" s="55"/>
      <c r="F81" s="56"/>
      <c r="H81" s="57"/>
      <c r="I81" s="2"/>
      <c r="J81" s="34" t="str">
        <f>ifna(HYPERLINK("#gid=1523906944&amp;range="&amp;REPLACE(REPLACE(Address(CELL("row",VLOOKUP($H81,Quest_Tracker!$A$2:$B$900,2,FALSE)),CELL("col",VLOOKUP($H81,Quest_Tracker!$A$2:$B$900,2,FALSE))),1,1,""),2,1,""),VLOOKUP($H81,Quest_Tracker!$A$2:$B$900,2,FALSE)))</f>
        <v/>
      </c>
      <c r="K81" s="59" t="str">
        <f>ifna(VLOOKUP($H81,Quest_Tracker!$A$2:$I$900,9,FALSE))</f>
        <v/>
      </c>
      <c r="L81" s="59" t="str">
        <f>ifna(VLOOKUP($H81,Quest_Tracker!$A$2:$I$900,3,FALSE))</f>
        <v/>
      </c>
      <c r="M81" s="60" t="str">
        <f>ifna(VLOOKUP($H81,Quest_Tracker!$A$2:$I$900,4,FALSE))</f>
        <v/>
      </c>
    </row>
    <row r="82">
      <c r="B82" s="62"/>
      <c r="C82" s="14" t="b">
        <v>0</v>
      </c>
      <c r="D82" s="54"/>
      <c r="E82" s="55"/>
      <c r="F82" s="56"/>
      <c r="H82" s="57"/>
      <c r="I82" s="2"/>
      <c r="J82" s="34" t="str">
        <f>ifna(HYPERLINK("#gid=1523906944&amp;range="&amp;REPLACE(REPLACE(Address(CELL("row",VLOOKUP($H82,Quest_Tracker!$A$2:$B$900,2,FALSE)),CELL("col",VLOOKUP($H82,Quest_Tracker!$A$2:$B$900,2,FALSE))),1,1,""),2,1,""),VLOOKUP($H82,Quest_Tracker!$A$2:$B$900,2,FALSE)))</f>
        <v/>
      </c>
      <c r="K82" s="59" t="str">
        <f>ifna(VLOOKUP($H82,Quest_Tracker!$A$2:$I$900,9,FALSE))</f>
        <v/>
      </c>
      <c r="L82" s="59" t="str">
        <f>ifna(VLOOKUP($H82,Quest_Tracker!$A$2:$I$900,3,FALSE))</f>
        <v/>
      </c>
      <c r="M82" s="60" t="str">
        <f>ifna(VLOOKUP($H82,Quest_Tracker!$A$2:$I$900,4,FALSE))</f>
        <v/>
      </c>
    </row>
    <row r="83">
      <c r="B83" s="62"/>
      <c r="C83" s="14" t="b">
        <v>0</v>
      </c>
      <c r="D83" s="54"/>
      <c r="E83" s="55"/>
      <c r="F83" s="56"/>
      <c r="H83" s="57"/>
      <c r="I83" s="2"/>
      <c r="J83" s="34" t="str">
        <f>ifna(HYPERLINK("#gid=1523906944&amp;range="&amp;REPLACE(REPLACE(Address(CELL("row",VLOOKUP($H83,Quest_Tracker!$A$2:$B$900,2,FALSE)),CELL("col",VLOOKUP($H83,Quest_Tracker!$A$2:$B$900,2,FALSE))),1,1,""),2,1,""),VLOOKUP($H83,Quest_Tracker!$A$2:$B$900,2,FALSE)))</f>
        <v/>
      </c>
      <c r="K83" s="59" t="str">
        <f>ifna(VLOOKUP($H83,Quest_Tracker!$A$2:$I$900,9,FALSE))</f>
        <v/>
      </c>
      <c r="L83" s="59" t="str">
        <f>ifna(VLOOKUP($H83,Quest_Tracker!$A$2:$I$900,3,FALSE))</f>
        <v/>
      </c>
      <c r="M83" s="60" t="str">
        <f>ifna(VLOOKUP($H83,Quest_Tracker!$A$2:$I$900,4,FALSE))</f>
        <v/>
      </c>
    </row>
    <row r="84">
      <c r="B84" s="62"/>
      <c r="C84" s="14" t="b">
        <v>0</v>
      </c>
      <c r="D84" s="54"/>
      <c r="E84" s="55"/>
      <c r="F84" s="56"/>
      <c r="H84" s="57"/>
      <c r="I84" s="2"/>
      <c r="J84" s="34" t="str">
        <f>ifna(HYPERLINK("#gid=1523906944&amp;range="&amp;REPLACE(REPLACE(Address(CELL("row",VLOOKUP($H84,Quest_Tracker!$A$2:$B$900,2,FALSE)),CELL("col",VLOOKUP($H84,Quest_Tracker!$A$2:$B$900,2,FALSE))),1,1,""),2,1,""),VLOOKUP($H84,Quest_Tracker!$A$2:$B$900,2,FALSE)))</f>
        <v/>
      </c>
      <c r="K84" s="59" t="str">
        <f>ifna(VLOOKUP($H84,Quest_Tracker!$A$2:$I$900,9,FALSE))</f>
        <v/>
      </c>
      <c r="L84" s="59" t="str">
        <f>ifna(VLOOKUP($H84,Quest_Tracker!$A$2:$I$900,3,FALSE))</f>
        <v/>
      </c>
      <c r="M84" s="60" t="str">
        <f>ifna(VLOOKUP($H84,Quest_Tracker!$A$2:$I$900,4,FALSE))</f>
        <v/>
      </c>
    </row>
    <row r="85">
      <c r="B85" s="62"/>
      <c r="C85" s="14" t="b">
        <v>0</v>
      </c>
      <c r="D85" s="54"/>
      <c r="E85" s="55"/>
      <c r="F85" s="56"/>
      <c r="H85" s="57"/>
      <c r="I85" s="2"/>
      <c r="J85" s="34" t="str">
        <f>ifna(HYPERLINK("#gid=1523906944&amp;range="&amp;REPLACE(REPLACE(Address(CELL("row",VLOOKUP($H85,Quest_Tracker!$A$2:$B$900,2,FALSE)),CELL("col",VLOOKUP($H85,Quest_Tracker!$A$2:$B$900,2,FALSE))),1,1,""),2,1,""),VLOOKUP($H85,Quest_Tracker!$A$2:$B$900,2,FALSE)))</f>
        <v/>
      </c>
      <c r="K85" s="59" t="str">
        <f>ifna(VLOOKUP($H85,Quest_Tracker!$A$2:$I$900,9,FALSE))</f>
        <v/>
      </c>
      <c r="L85" s="59" t="str">
        <f>ifna(VLOOKUP($H85,Quest_Tracker!$A$2:$I$900,3,FALSE))</f>
        <v/>
      </c>
      <c r="M85" s="60" t="str">
        <f>ifna(VLOOKUP($H85,Quest_Tracker!$A$2:$I$900,4,FALSE))</f>
        <v/>
      </c>
    </row>
    <row r="86">
      <c r="B86" s="62"/>
      <c r="C86" s="14" t="b">
        <v>0</v>
      </c>
      <c r="D86" s="54"/>
      <c r="E86" s="55"/>
      <c r="F86" s="56"/>
      <c r="H86" s="57"/>
      <c r="I86" s="2"/>
      <c r="J86" s="34" t="str">
        <f>ifna(HYPERLINK("#gid=1523906944&amp;range="&amp;REPLACE(REPLACE(Address(CELL("row",VLOOKUP($H86,Quest_Tracker!$A$2:$B$900,2,FALSE)),CELL("col",VLOOKUP($H86,Quest_Tracker!$A$2:$B$900,2,FALSE))),1,1,""),2,1,""),VLOOKUP($H86,Quest_Tracker!$A$2:$B$900,2,FALSE)))</f>
        <v/>
      </c>
      <c r="K86" s="59" t="str">
        <f>ifna(VLOOKUP($H86,Quest_Tracker!$A$2:$I$900,9,FALSE))</f>
        <v/>
      </c>
      <c r="L86" s="59" t="str">
        <f>ifna(VLOOKUP($H86,Quest_Tracker!$A$2:$I$900,3,FALSE))</f>
        <v/>
      </c>
      <c r="M86" s="60" t="str">
        <f>ifna(VLOOKUP($H86,Quest_Tracker!$A$2:$I$900,4,FALSE))</f>
        <v/>
      </c>
    </row>
    <row r="87">
      <c r="B87" s="62"/>
      <c r="C87" s="14" t="b">
        <v>0</v>
      </c>
      <c r="D87" s="54"/>
      <c r="E87" s="55"/>
      <c r="F87" s="56"/>
      <c r="H87" s="57"/>
      <c r="I87" s="2"/>
      <c r="J87" s="34" t="str">
        <f>ifna(HYPERLINK("#gid=1523906944&amp;range="&amp;REPLACE(REPLACE(Address(CELL("row",VLOOKUP($H87,Quest_Tracker!$A$2:$B$900,2,FALSE)),CELL("col",VLOOKUP($H87,Quest_Tracker!$A$2:$B$900,2,FALSE))),1,1,""),2,1,""),VLOOKUP($H87,Quest_Tracker!$A$2:$B$900,2,FALSE)))</f>
        <v/>
      </c>
      <c r="K87" s="59" t="str">
        <f>ifna(VLOOKUP($H87,Quest_Tracker!$A$2:$I$900,9,FALSE))</f>
        <v/>
      </c>
      <c r="L87" s="59" t="str">
        <f>ifna(VLOOKUP($H87,Quest_Tracker!$A$2:$I$900,3,FALSE))</f>
        <v/>
      </c>
      <c r="M87" s="60" t="str">
        <f>ifna(VLOOKUP($H87,Quest_Tracker!$A$2:$I$900,4,FALSE))</f>
        <v/>
      </c>
    </row>
    <row r="88">
      <c r="B88" s="62"/>
      <c r="C88" s="14" t="b">
        <v>0</v>
      </c>
      <c r="D88" s="54"/>
      <c r="E88" s="55"/>
      <c r="F88" s="56"/>
      <c r="H88" s="57"/>
      <c r="I88" s="2"/>
      <c r="J88" s="34" t="str">
        <f>ifna(HYPERLINK("#gid=1523906944&amp;range="&amp;REPLACE(REPLACE(Address(CELL("row",VLOOKUP($H88,Quest_Tracker!$A$2:$B$900,2,FALSE)),CELL("col",VLOOKUP($H88,Quest_Tracker!$A$2:$B$900,2,FALSE))),1,1,""),2,1,""),VLOOKUP($H88,Quest_Tracker!$A$2:$B$900,2,FALSE)))</f>
        <v/>
      </c>
      <c r="K88" s="59" t="str">
        <f>ifna(VLOOKUP($H88,Quest_Tracker!$A$2:$I$900,9,FALSE))</f>
        <v/>
      </c>
      <c r="L88" s="59" t="str">
        <f>ifna(VLOOKUP($H88,Quest_Tracker!$A$2:$I$900,3,FALSE))</f>
        <v/>
      </c>
      <c r="M88" s="60" t="str">
        <f>ifna(VLOOKUP($H88,Quest_Tracker!$A$2:$I$900,4,FALSE))</f>
        <v/>
      </c>
    </row>
    <row r="89">
      <c r="B89" s="62"/>
      <c r="C89" s="14" t="b">
        <v>0</v>
      </c>
      <c r="D89" s="54"/>
      <c r="E89" s="55"/>
      <c r="F89" s="56"/>
      <c r="H89" s="57"/>
      <c r="I89" s="2"/>
      <c r="J89" s="34" t="str">
        <f>ifna(HYPERLINK("#gid=1523906944&amp;range="&amp;REPLACE(REPLACE(Address(CELL("row",VLOOKUP($H89,Quest_Tracker!$A$2:$B$900,2,FALSE)),CELL("col",VLOOKUP($H89,Quest_Tracker!$A$2:$B$900,2,FALSE))),1,1,""),2,1,""),VLOOKUP($H89,Quest_Tracker!$A$2:$B$900,2,FALSE)))</f>
        <v/>
      </c>
      <c r="K89" s="59" t="str">
        <f>ifna(VLOOKUP($H89,Quest_Tracker!$A$2:$I$900,9,FALSE))</f>
        <v/>
      </c>
      <c r="L89" s="59" t="str">
        <f>ifna(VLOOKUP($H89,Quest_Tracker!$A$2:$I$900,3,FALSE))</f>
        <v/>
      </c>
      <c r="M89" s="60" t="str">
        <f>ifna(VLOOKUP($H89,Quest_Tracker!$A$2:$I$900,4,FALSE))</f>
        <v/>
      </c>
    </row>
    <row r="90">
      <c r="B90" s="62"/>
      <c r="C90" s="14" t="b">
        <v>0</v>
      </c>
      <c r="D90" s="54"/>
      <c r="E90" s="55"/>
      <c r="F90" s="56"/>
      <c r="H90" s="57"/>
      <c r="I90" s="2"/>
      <c r="J90" s="34" t="str">
        <f>ifna(HYPERLINK("#gid=1523906944&amp;range="&amp;REPLACE(REPLACE(Address(CELL("row",VLOOKUP($H90,Quest_Tracker!$A$2:$B$900,2,FALSE)),CELL("col",VLOOKUP($H90,Quest_Tracker!$A$2:$B$900,2,FALSE))),1,1,""),2,1,""),VLOOKUP($H90,Quest_Tracker!$A$2:$B$900,2,FALSE)))</f>
        <v/>
      </c>
      <c r="K90" s="59" t="str">
        <f>ifna(VLOOKUP($H90,Quest_Tracker!$A$2:$I$900,9,FALSE))</f>
        <v/>
      </c>
      <c r="L90" s="59" t="str">
        <f>ifna(VLOOKUP($H90,Quest_Tracker!$A$2:$I$900,3,FALSE))</f>
        <v/>
      </c>
      <c r="M90" s="60" t="str">
        <f>ifna(VLOOKUP($H90,Quest_Tracker!$A$2:$I$900,4,FALSE))</f>
        <v/>
      </c>
    </row>
    <row r="91">
      <c r="B91" s="62"/>
      <c r="C91" s="14" t="b">
        <v>0</v>
      </c>
      <c r="D91" s="54"/>
      <c r="E91" s="55"/>
      <c r="F91" s="56"/>
      <c r="H91" s="57"/>
      <c r="I91" s="2"/>
      <c r="J91" s="34" t="str">
        <f>ifna(HYPERLINK("#gid=1523906944&amp;range="&amp;REPLACE(REPLACE(Address(CELL("row",VLOOKUP($H91,Quest_Tracker!$A$2:$B$900,2,FALSE)),CELL("col",VLOOKUP($H91,Quest_Tracker!$A$2:$B$900,2,FALSE))),1,1,""),2,1,""),VLOOKUP($H91,Quest_Tracker!$A$2:$B$900,2,FALSE)))</f>
        <v/>
      </c>
      <c r="K91" s="59" t="str">
        <f>ifna(VLOOKUP($H91,Quest_Tracker!$A$2:$I$900,9,FALSE))</f>
        <v/>
      </c>
      <c r="L91" s="59" t="str">
        <f>ifna(VLOOKUP($H91,Quest_Tracker!$A$2:$I$900,3,FALSE))</f>
        <v/>
      </c>
      <c r="M91" s="60" t="str">
        <f>ifna(VLOOKUP($H91,Quest_Tracker!$A$2:$I$900,4,FALSE))</f>
        <v/>
      </c>
    </row>
    <row r="92">
      <c r="B92" s="62"/>
      <c r="C92" s="14" t="b">
        <v>0</v>
      </c>
      <c r="D92" s="54"/>
      <c r="E92" s="55"/>
      <c r="F92" s="56"/>
      <c r="H92" s="57"/>
      <c r="I92" s="2"/>
      <c r="J92" s="34" t="str">
        <f>ifna(HYPERLINK("#gid=1523906944&amp;range="&amp;REPLACE(REPLACE(Address(CELL("row",VLOOKUP($H92,Quest_Tracker!$A$2:$B$900,2,FALSE)),CELL("col",VLOOKUP($H92,Quest_Tracker!$A$2:$B$900,2,FALSE))),1,1,""),2,1,""),VLOOKUP($H92,Quest_Tracker!$A$2:$B$900,2,FALSE)))</f>
        <v/>
      </c>
      <c r="K92" s="59" t="str">
        <f>ifna(VLOOKUP($H92,Quest_Tracker!$A$2:$I$900,9,FALSE))</f>
        <v/>
      </c>
      <c r="L92" s="59" t="str">
        <f>ifna(VLOOKUP($H92,Quest_Tracker!$A$2:$I$900,3,FALSE))</f>
        <v/>
      </c>
      <c r="M92" s="60" t="str">
        <f>ifna(VLOOKUP($H92,Quest_Tracker!$A$2:$I$900,4,FALSE))</f>
        <v/>
      </c>
    </row>
    <row r="93">
      <c r="B93" s="62"/>
      <c r="C93" s="14" t="b">
        <v>0</v>
      </c>
      <c r="D93" s="54"/>
      <c r="E93" s="55"/>
      <c r="F93" s="56"/>
      <c r="H93" s="57"/>
      <c r="I93" s="2"/>
      <c r="J93" s="34" t="str">
        <f>ifna(HYPERLINK("#gid=1523906944&amp;range="&amp;REPLACE(REPLACE(Address(CELL("row",VLOOKUP($H93,Quest_Tracker!$A$2:$B$900,2,FALSE)),CELL("col",VLOOKUP($H93,Quest_Tracker!$A$2:$B$900,2,FALSE))),1,1,""),2,1,""),VLOOKUP($H93,Quest_Tracker!$A$2:$B$900,2,FALSE)))</f>
        <v/>
      </c>
      <c r="K93" s="59" t="str">
        <f>ifna(VLOOKUP($H93,Quest_Tracker!$A$2:$I$900,9,FALSE))</f>
        <v/>
      </c>
      <c r="L93" s="59" t="str">
        <f>ifna(VLOOKUP($H93,Quest_Tracker!$A$2:$I$900,3,FALSE))</f>
        <v/>
      </c>
      <c r="M93" s="60" t="str">
        <f>ifna(VLOOKUP($H93,Quest_Tracker!$A$2:$I$900,4,FALSE))</f>
        <v/>
      </c>
    </row>
    <row r="94">
      <c r="B94" s="62"/>
      <c r="C94" s="14" t="b">
        <v>0</v>
      </c>
      <c r="D94" s="54"/>
      <c r="E94" s="55"/>
      <c r="F94" s="56"/>
      <c r="H94" s="57"/>
      <c r="I94" s="2"/>
      <c r="J94" s="34" t="str">
        <f>ifna(HYPERLINK("#gid=1523906944&amp;range="&amp;REPLACE(REPLACE(Address(CELL("row",VLOOKUP($H94,Quest_Tracker!$A$2:$B$900,2,FALSE)),CELL("col",VLOOKUP($H94,Quest_Tracker!$A$2:$B$900,2,FALSE))),1,1,""),2,1,""),VLOOKUP($H94,Quest_Tracker!$A$2:$B$900,2,FALSE)))</f>
        <v/>
      </c>
      <c r="K94" s="59" t="str">
        <f>ifna(VLOOKUP($H94,Quest_Tracker!$A$2:$I$900,9,FALSE))</f>
        <v/>
      </c>
      <c r="L94" s="59" t="str">
        <f>ifna(VLOOKUP($H94,Quest_Tracker!$A$2:$I$900,3,FALSE))</f>
        <v/>
      </c>
      <c r="M94" s="60" t="str">
        <f>ifna(VLOOKUP($H94,Quest_Tracker!$A$2:$I$900,4,FALSE))</f>
        <v/>
      </c>
    </row>
    <row r="95">
      <c r="B95" s="62"/>
      <c r="C95" s="14" t="b">
        <v>0</v>
      </c>
      <c r="D95" s="54"/>
      <c r="E95" s="55"/>
      <c r="F95" s="56"/>
      <c r="H95" s="57"/>
      <c r="I95" s="2"/>
      <c r="J95" s="34" t="str">
        <f>ifna(HYPERLINK("#gid=1523906944&amp;range="&amp;REPLACE(REPLACE(Address(CELL("row",VLOOKUP($H95,Quest_Tracker!$A$2:$B$900,2,FALSE)),CELL("col",VLOOKUP($H95,Quest_Tracker!$A$2:$B$900,2,FALSE))),1,1,""),2,1,""),VLOOKUP($H95,Quest_Tracker!$A$2:$B$900,2,FALSE)))</f>
        <v/>
      </c>
      <c r="K95" s="59" t="str">
        <f>ifna(VLOOKUP($H95,Quest_Tracker!$A$2:$I$900,9,FALSE))</f>
        <v/>
      </c>
      <c r="L95" s="59" t="str">
        <f>ifna(VLOOKUP($H95,Quest_Tracker!$A$2:$I$900,3,FALSE))</f>
        <v/>
      </c>
      <c r="M95" s="60" t="str">
        <f>ifna(VLOOKUP($H95,Quest_Tracker!$A$2:$I$900,4,FALSE))</f>
        <v/>
      </c>
    </row>
    <row r="96">
      <c r="B96" s="62"/>
      <c r="C96" s="14" t="b">
        <v>0</v>
      </c>
      <c r="D96" s="54"/>
      <c r="E96" s="55"/>
      <c r="F96" s="56"/>
      <c r="H96" s="57"/>
      <c r="I96" s="2"/>
      <c r="J96" s="34" t="str">
        <f>ifna(HYPERLINK("#gid=1523906944&amp;range="&amp;REPLACE(REPLACE(Address(CELL("row",VLOOKUP($H96,Quest_Tracker!$A$2:$B$900,2,FALSE)),CELL("col",VLOOKUP($H96,Quest_Tracker!$A$2:$B$900,2,FALSE))),1,1,""),2,1,""),VLOOKUP($H96,Quest_Tracker!$A$2:$B$900,2,FALSE)))</f>
        <v/>
      </c>
      <c r="K96" s="59" t="str">
        <f>ifna(VLOOKUP($H96,Quest_Tracker!$A$2:$I$900,9,FALSE))</f>
        <v/>
      </c>
      <c r="L96" s="59" t="str">
        <f>ifna(VLOOKUP($H96,Quest_Tracker!$A$2:$I$900,3,FALSE))</f>
        <v/>
      </c>
      <c r="M96" s="60" t="str">
        <f>ifna(VLOOKUP($H96,Quest_Tracker!$A$2:$I$900,4,FALSE))</f>
        <v/>
      </c>
    </row>
    <row r="97">
      <c r="B97" s="62"/>
      <c r="C97" s="14" t="b">
        <v>0</v>
      </c>
      <c r="D97" s="54"/>
      <c r="E97" s="55"/>
      <c r="F97" s="56"/>
      <c r="H97" s="57"/>
      <c r="I97" s="2"/>
      <c r="J97" s="34" t="str">
        <f>ifna(HYPERLINK("#gid=1523906944&amp;range="&amp;REPLACE(REPLACE(Address(CELL("row",VLOOKUP($H97,Quest_Tracker!$A$2:$B$900,2,FALSE)),CELL("col",VLOOKUP($H97,Quest_Tracker!$A$2:$B$900,2,FALSE))),1,1,""),2,1,""),VLOOKUP($H97,Quest_Tracker!$A$2:$B$900,2,FALSE)))</f>
        <v/>
      </c>
      <c r="K97" s="59" t="str">
        <f>ifna(VLOOKUP($H97,Quest_Tracker!$A$2:$I$900,9,FALSE))</f>
        <v/>
      </c>
      <c r="L97" s="59" t="str">
        <f>ifna(VLOOKUP($H97,Quest_Tracker!$A$2:$I$900,3,FALSE))</f>
        <v/>
      </c>
      <c r="M97" s="60" t="str">
        <f>ifna(VLOOKUP($H97,Quest_Tracker!$A$2:$I$900,4,FALSE))</f>
        <v/>
      </c>
    </row>
    <row r="98">
      <c r="B98" s="62"/>
      <c r="C98" s="14" t="b">
        <v>0</v>
      </c>
      <c r="D98" s="54"/>
      <c r="E98" s="55"/>
      <c r="F98" s="56"/>
      <c r="H98" s="57"/>
      <c r="I98" s="2"/>
      <c r="J98" s="34" t="str">
        <f>ifna(HYPERLINK("#gid=1523906944&amp;range="&amp;REPLACE(REPLACE(Address(CELL("row",VLOOKUP($H98,Quest_Tracker!$A$2:$B$900,2,FALSE)),CELL("col",VLOOKUP($H98,Quest_Tracker!$A$2:$B$900,2,FALSE))),1,1,""),2,1,""),VLOOKUP($H98,Quest_Tracker!$A$2:$B$900,2,FALSE)))</f>
        <v/>
      </c>
      <c r="K98" s="59" t="str">
        <f>ifna(VLOOKUP($H98,Quest_Tracker!$A$2:$I$900,9,FALSE))</f>
        <v/>
      </c>
      <c r="L98" s="59" t="str">
        <f>ifna(VLOOKUP($H98,Quest_Tracker!$A$2:$I$900,3,FALSE))</f>
        <v/>
      </c>
      <c r="M98" s="60" t="str">
        <f>ifna(VLOOKUP($H98,Quest_Tracker!$A$2:$I$900,4,FALSE))</f>
        <v/>
      </c>
    </row>
    <row r="99">
      <c r="B99" s="62"/>
      <c r="C99" s="14" t="b">
        <v>0</v>
      </c>
      <c r="D99" s="54"/>
      <c r="E99" s="55"/>
      <c r="F99" s="56"/>
      <c r="H99" s="57"/>
      <c r="I99" s="2"/>
      <c r="J99" s="34" t="str">
        <f>ifna(HYPERLINK("#gid=1523906944&amp;range="&amp;REPLACE(REPLACE(Address(CELL("row",VLOOKUP($H99,Quest_Tracker!$A$2:$B$900,2,FALSE)),CELL("col",VLOOKUP($H99,Quest_Tracker!$A$2:$B$900,2,FALSE))),1,1,""),2,1,""),VLOOKUP($H99,Quest_Tracker!$A$2:$B$900,2,FALSE)))</f>
        <v/>
      </c>
      <c r="K99" s="59" t="str">
        <f>ifna(VLOOKUP($H99,Quest_Tracker!$A$2:$I$900,9,FALSE))</f>
        <v/>
      </c>
      <c r="L99" s="59" t="str">
        <f>ifna(VLOOKUP($H99,Quest_Tracker!$A$2:$I$900,3,FALSE))</f>
        <v/>
      </c>
      <c r="M99" s="60" t="str">
        <f>ifna(VLOOKUP($H99,Quest_Tracker!$A$2:$I$900,4,FALSE))</f>
        <v/>
      </c>
    </row>
    <row r="100">
      <c r="B100" s="62"/>
      <c r="C100" s="14" t="b">
        <v>0</v>
      </c>
      <c r="D100" s="54"/>
      <c r="E100" s="55"/>
      <c r="F100" s="56"/>
      <c r="H100" s="57"/>
      <c r="I100" s="2"/>
      <c r="J100" s="34" t="str">
        <f>ifna(HYPERLINK("#gid=1523906944&amp;range="&amp;REPLACE(REPLACE(Address(CELL("row",VLOOKUP($H100,Quest_Tracker!$A$2:$B$900,2,FALSE)),CELL("col",VLOOKUP($H100,Quest_Tracker!$A$2:$B$900,2,FALSE))),1,1,""),2,1,""),VLOOKUP($H100,Quest_Tracker!$A$2:$B$900,2,FALSE)))</f>
        <v/>
      </c>
      <c r="K100" s="59" t="str">
        <f>ifna(VLOOKUP($H100,Quest_Tracker!$A$2:$I$900,9,FALSE))</f>
        <v/>
      </c>
      <c r="L100" s="59" t="str">
        <f>ifna(VLOOKUP($H100,Quest_Tracker!$A$2:$I$900,3,FALSE))</f>
        <v/>
      </c>
      <c r="M100" s="60" t="str">
        <f>ifna(VLOOKUP($H100,Quest_Tracker!$A$2:$I$900,4,FALSE))</f>
        <v/>
      </c>
    </row>
    <row r="101">
      <c r="B101" s="62"/>
      <c r="C101" s="14" t="b">
        <v>0</v>
      </c>
      <c r="D101" s="54"/>
      <c r="E101" s="55"/>
      <c r="F101" s="56"/>
      <c r="H101" s="57"/>
      <c r="I101" s="2"/>
      <c r="J101" s="34" t="str">
        <f>ifna(HYPERLINK("#gid=1523906944&amp;range="&amp;REPLACE(REPLACE(Address(CELL("row",VLOOKUP($H101,Quest_Tracker!$A$2:$B$900,2,FALSE)),CELL("col",VLOOKUP($H101,Quest_Tracker!$A$2:$B$900,2,FALSE))),1,1,""),2,1,""),VLOOKUP($H101,Quest_Tracker!$A$2:$B$900,2,FALSE)))</f>
        <v/>
      </c>
      <c r="K101" s="59" t="str">
        <f>ifna(VLOOKUP($H101,Quest_Tracker!$A$2:$I$900,9,FALSE))</f>
        <v/>
      </c>
      <c r="L101" s="59" t="str">
        <f>ifna(VLOOKUP($H101,Quest_Tracker!$A$2:$I$900,3,FALSE))</f>
        <v/>
      </c>
      <c r="M101" s="60" t="str">
        <f>ifna(VLOOKUP($H101,Quest_Tracker!$A$2:$I$900,4,FALSE))</f>
        <v/>
      </c>
    </row>
    <row r="102">
      <c r="B102" s="62"/>
      <c r="C102" s="14" t="b">
        <v>0</v>
      </c>
      <c r="D102" s="54"/>
      <c r="E102" s="55"/>
      <c r="F102" s="56"/>
      <c r="H102" s="57"/>
      <c r="I102" s="2"/>
      <c r="J102" s="34" t="str">
        <f>ifna(HYPERLINK("#gid=1523906944&amp;range="&amp;REPLACE(REPLACE(Address(CELL("row",VLOOKUP($H102,Quest_Tracker!$A$2:$B$900,2,FALSE)),CELL("col",VLOOKUP($H102,Quest_Tracker!$A$2:$B$900,2,FALSE))),1,1,""),2,1,""),VLOOKUP($H102,Quest_Tracker!$A$2:$B$900,2,FALSE)))</f>
        <v/>
      </c>
      <c r="K102" s="59" t="str">
        <f>ifna(VLOOKUP($H102,Quest_Tracker!$A$2:$I$900,9,FALSE))</f>
        <v/>
      </c>
      <c r="L102" s="59" t="str">
        <f>ifna(VLOOKUP($H102,Quest_Tracker!$A$2:$I$900,3,FALSE))</f>
        <v/>
      </c>
      <c r="M102" s="60" t="str">
        <f>ifna(VLOOKUP($H102,Quest_Tracker!$A$2:$I$900,4,FALSE))</f>
        <v/>
      </c>
    </row>
    <row r="103">
      <c r="B103" s="62"/>
      <c r="C103" s="14" t="b">
        <v>0</v>
      </c>
      <c r="D103" s="54"/>
      <c r="E103" s="55"/>
      <c r="F103" s="56"/>
      <c r="H103" s="57"/>
      <c r="I103" s="2"/>
      <c r="J103" s="34" t="str">
        <f>ifna(HYPERLINK("#gid=1523906944&amp;range="&amp;REPLACE(REPLACE(Address(CELL("row",VLOOKUP($H103,Quest_Tracker!$A$2:$B$900,2,FALSE)),CELL("col",VLOOKUP($H103,Quest_Tracker!$A$2:$B$900,2,FALSE))),1,1,""),2,1,""),VLOOKUP($H103,Quest_Tracker!$A$2:$B$900,2,FALSE)))</f>
        <v/>
      </c>
      <c r="K103" s="59" t="str">
        <f>ifna(VLOOKUP($H103,Quest_Tracker!$A$2:$I$900,9,FALSE))</f>
        <v/>
      </c>
      <c r="L103" s="59" t="str">
        <f>ifna(VLOOKUP($H103,Quest_Tracker!$A$2:$I$900,3,FALSE))</f>
        <v/>
      </c>
      <c r="M103" s="60" t="str">
        <f>ifna(VLOOKUP($H103,Quest_Tracker!$A$2:$I$900,4,FALSE))</f>
        <v/>
      </c>
    </row>
    <row r="104">
      <c r="B104" s="62"/>
      <c r="C104" s="14" t="b">
        <v>0</v>
      </c>
      <c r="D104" s="54"/>
      <c r="E104" s="55"/>
      <c r="F104" s="56"/>
      <c r="H104" s="57"/>
      <c r="I104" s="2"/>
      <c r="J104" s="34" t="str">
        <f>ifna(HYPERLINK("#gid=1523906944&amp;range="&amp;REPLACE(REPLACE(Address(CELL("row",VLOOKUP($H104,Quest_Tracker!$A$2:$B$900,2,FALSE)),CELL("col",VLOOKUP($H104,Quest_Tracker!$A$2:$B$900,2,FALSE))),1,1,""),2,1,""),VLOOKUP($H104,Quest_Tracker!$A$2:$B$900,2,FALSE)))</f>
        <v/>
      </c>
      <c r="K104" s="59" t="str">
        <f>ifna(VLOOKUP($H104,Quest_Tracker!$A$2:$I$900,9,FALSE))</f>
        <v/>
      </c>
      <c r="L104" s="59" t="str">
        <f>ifna(VLOOKUP($H104,Quest_Tracker!$A$2:$I$900,3,FALSE))</f>
        <v/>
      </c>
      <c r="M104" s="60" t="str">
        <f>ifna(VLOOKUP($H104,Quest_Tracker!$A$2:$I$900,4,FALSE))</f>
        <v/>
      </c>
    </row>
    <row r="105">
      <c r="B105" s="62"/>
      <c r="C105" s="14" t="b">
        <v>0</v>
      </c>
      <c r="D105" s="54"/>
      <c r="E105" s="55"/>
      <c r="F105" s="56"/>
      <c r="H105" s="57"/>
      <c r="I105" s="2"/>
      <c r="J105" s="34" t="str">
        <f>ifna(HYPERLINK("#gid=1523906944&amp;range="&amp;REPLACE(REPLACE(Address(CELL("row",VLOOKUP($H105,Quest_Tracker!$A$2:$B$900,2,FALSE)),CELL("col",VLOOKUP($H105,Quest_Tracker!$A$2:$B$900,2,FALSE))),1,1,""),2,1,""),VLOOKUP($H105,Quest_Tracker!$A$2:$B$900,2,FALSE)))</f>
        <v/>
      </c>
      <c r="K105" s="59" t="str">
        <f>ifna(VLOOKUP($H105,Quest_Tracker!$A$2:$I$900,9,FALSE))</f>
        <v/>
      </c>
      <c r="L105" s="59" t="str">
        <f>ifna(VLOOKUP($H105,Quest_Tracker!$A$2:$I$900,3,FALSE))</f>
        <v/>
      </c>
      <c r="M105" s="60" t="str">
        <f>ifna(VLOOKUP($H105,Quest_Tracker!$A$2:$I$900,4,FALSE))</f>
        <v/>
      </c>
    </row>
    <row r="106">
      <c r="B106" s="62"/>
      <c r="C106" s="14" t="b">
        <v>0</v>
      </c>
      <c r="D106" s="54"/>
      <c r="E106" s="55"/>
      <c r="F106" s="56"/>
      <c r="H106" s="57"/>
      <c r="I106" s="2"/>
      <c r="J106" s="34" t="str">
        <f>ifna(HYPERLINK("#gid=1523906944&amp;range="&amp;REPLACE(REPLACE(Address(CELL("row",VLOOKUP($H106,Quest_Tracker!$A$2:$B$900,2,FALSE)),CELL("col",VLOOKUP($H106,Quest_Tracker!$A$2:$B$900,2,FALSE))),1,1,""),2,1,""),VLOOKUP($H106,Quest_Tracker!$A$2:$B$900,2,FALSE)))</f>
        <v/>
      </c>
      <c r="K106" s="59" t="str">
        <f>ifna(VLOOKUP($H106,Quest_Tracker!$A$2:$I$900,9,FALSE))</f>
        <v/>
      </c>
      <c r="L106" s="59" t="str">
        <f>ifna(VLOOKUP($H106,Quest_Tracker!$A$2:$I$900,3,FALSE))</f>
        <v/>
      </c>
      <c r="M106" s="60" t="str">
        <f>ifna(VLOOKUP($H106,Quest_Tracker!$A$2:$I$900,4,FALSE))</f>
        <v/>
      </c>
    </row>
    <row r="107">
      <c r="B107" s="62"/>
      <c r="C107" s="14" t="b">
        <v>0</v>
      </c>
      <c r="D107" s="54"/>
      <c r="E107" s="55"/>
      <c r="F107" s="56"/>
      <c r="H107" s="57"/>
      <c r="I107" s="2"/>
      <c r="J107" s="34" t="str">
        <f>ifna(HYPERLINK("#gid=1523906944&amp;range="&amp;REPLACE(REPLACE(Address(CELL("row",VLOOKUP($H107,Quest_Tracker!$A$2:$B$900,2,FALSE)),CELL("col",VLOOKUP($H107,Quest_Tracker!$A$2:$B$900,2,FALSE))),1,1,""),2,1,""),VLOOKUP($H107,Quest_Tracker!$A$2:$B$900,2,FALSE)))</f>
        <v/>
      </c>
      <c r="K107" s="59" t="str">
        <f>ifna(VLOOKUP($H107,Quest_Tracker!$A$2:$I$900,9,FALSE))</f>
        <v/>
      </c>
      <c r="L107" s="59" t="str">
        <f>ifna(VLOOKUP($H107,Quest_Tracker!$A$2:$I$900,3,FALSE))</f>
        <v/>
      </c>
      <c r="M107" s="60" t="str">
        <f>ifna(VLOOKUP($H107,Quest_Tracker!$A$2:$I$900,4,FALSE))</f>
        <v/>
      </c>
    </row>
    <row r="108">
      <c r="B108" s="62"/>
      <c r="C108" s="14" t="b">
        <v>0</v>
      </c>
      <c r="D108" s="54"/>
      <c r="E108" s="55"/>
      <c r="F108" s="56"/>
      <c r="H108" s="57"/>
      <c r="I108" s="2"/>
      <c r="J108" s="34" t="str">
        <f>ifna(HYPERLINK("#gid=1523906944&amp;range="&amp;REPLACE(REPLACE(Address(CELL("row",VLOOKUP($H108,Quest_Tracker!$A$2:$B$900,2,FALSE)),CELL("col",VLOOKUP($H108,Quest_Tracker!$A$2:$B$900,2,FALSE))),1,1,""),2,1,""),VLOOKUP($H108,Quest_Tracker!$A$2:$B$900,2,FALSE)))</f>
        <v/>
      </c>
      <c r="K108" s="59" t="str">
        <f>ifna(VLOOKUP($H108,Quest_Tracker!$A$2:$I$900,9,FALSE))</f>
        <v/>
      </c>
      <c r="L108" s="59" t="str">
        <f>ifna(VLOOKUP($H108,Quest_Tracker!$A$2:$I$900,3,FALSE))</f>
        <v/>
      </c>
      <c r="M108" s="60" t="str">
        <f>ifna(VLOOKUP($H108,Quest_Tracker!$A$2:$I$900,4,FALSE))</f>
        <v/>
      </c>
    </row>
    <row r="109">
      <c r="B109" s="62"/>
      <c r="C109" s="14" t="b">
        <v>0</v>
      </c>
      <c r="D109" s="54"/>
      <c r="E109" s="55"/>
      <c r="F109" s="56"/>
      <c r="H109" s="57"/>
      <c r="I109" s="2"/>
      <c r="J109" s="34" t="str">
        <f>ifna(HYPERLINK("#gid=1523906944&amp;range="&amp;REPLACE(REPLACE(Address(CELL("row",VLOOKUP($H109,Quest_Tracker!$A$2:$B$900,2,FALSE)),CELL("col",VLOOKUP($H109,Quest_Tracker!$A$2:$B$900,2,FALSE))),1,1,""),2,1,""),VLOOKUP($H109,Quest_Tracker!$A$2:$B$900,2,FALSE)))</f>
        <v/>
      </c>
      <c r="K109" s="59" t="str">
        <f>ifna(VLOOKUP($H109,Quest_Tracker!$A$2:$I$900,9,FALSE))</f>
        <v/>
      </c>
      <c r="L109" s="59" t="str">
        <f>ifna(VLOOKUP($H109,Quest_Tracker!$A$2:$I$900,3,FALSE))</f>
        <v/>
      </c>
      <c r="M109" s="60" t="str">
        <f>ifna(VLOOKUP($H109,Quest_Tracker!$A$2:$I$900,4,FALSE))</f>
        <v/>
      </c>
    </row>
    <row r="110">
      <c r="B110" s="62"/>
      <c r="C110" s="14" t="b">
        <v>0</v>
      </c>
      <c r="D110" s="54"/>
      <c r="E110" s="55"/>
      <c r="F110" s="56"/>
      <c r="H110" s="57"/>
      <c r="I110" s="2"/>
      <c r="J110" s="34" t="str">
        <f>ifna(HYPERLINK("#gid=1523906944&amp;range="&amp;REPLACE(REPLACE(Address(CELL("row",VLOOKUP($H110,Quest_Tracker!$A$2:$B$900,2,FALSE)),CELL("col",VLOOKUP($H110,Quest_Tracker!$A$2:$B$900,2,FALSE))),1,1,""),2,1,""),VLOOKUP($H110,Quest_Tracker!$A$2:$B$900,2,FALSE)))</f>
        <v/>
      </c>
      <c r="K110" s="59" t="str">
        <f>ifna(VLOOKUP($H110,Quest_Tracker!$A$2:$I$900,9,FALSE))</f>
        <v/>
      </c>
      <c r="L110" s="59" t="str">
        <f>ifna(VLOOKUP($H110,Quest_Tracker!$A$2:$I$900,3,FALSE))</f>
        <v/>
      </c>
      <c r="M110" s="60" t="str">
        <f>ifna(VLOOKUP($H110,Quest_Tracker!$A$2:$I$900,4,FALSE))</f>
        <v/>
      </c>
    </row>
    <row r="111">
      <c r="B111" s="62"/>
      <c r="C111" s="14" t="b">
        <v>0</v>
      </c>
      <c r="D111" s="54"/>
      <c r="E111" s="55"/>
      <c r="F111" s="56"/>
      <c r="H111" s="57"/>
      <c r="I111" s="2"/>
      <c r="J111" s="34" t="str">
        <f>ifna(HYPERLINK("#gid=1523906944&amp;range="&amp;REPLACE(REPLACE(Address(CELL("row",VLOOKUP($H111,Quest_Tracker!$A$2:$B$900,2,FALSE)),CELL("col",VLOOKUP($H111,Quest_Tracker!$A$2:$B$900,2,FALSE))),1,1,""),2,1,""),VLOOKUP($H111,Quest_Tracker!$A$2:$B$900,2,FALSE)))</f>
        <v/>
      </c>
      <c r="K111" s="59" t="str">
        <f>ifna(VLOOKUP($H111,Quest_Tracker!$A$2:$I$900,9,FALSE))</f>
        <v/>
      </c>
      <c r="L111" s="59" t="str">
        <f>ifna(VLOOKUP($H111,Quest_Tracker!$A$2:$I$900,3,FALSE))</f>
        <v/>
      </c>
      <c r="M111" s="60" t="str">
        <f>ifna(VLOOKUP($H111,Quest_Tracker!$A$2:$I$900,4,FALSE))</f>
        <v/>
      </c>
    </row>
    <row r="112">
      <c r="B112" s="62"/>
      <c r="C112" s="14" t="b">
        <v>0</v>
      </c>
      <c r="D112" s="54"/>
      <c r="E112" s="55"/>
      <c r="F112" s="56"/>
      <c r="H112" s="57"/>
      <c r="I112" s="2"/>
      <c r="J112" s="34" t="str">
        <f>ifna(HYPERLINK("#gid=1523906944&amp;range="&amp;REPLACE(REPLACE(Address(CELL("row",VLOOKUP($H112,Quest_Tracker!$A$2:$B$900,2,FALSE)),CELL("col",VLOOKUP($H112,Quest_Tracker!$A$2:$B$900,2,FALSE))),1,1,""),2,1,""),VLOOKUP($H112,Quest_Tracker!$A$2:$B$900,2,FALSE)))</f>
        <v/>
      </c>
      <c r="K112" s="59" t="str">
        <f>ifna(VLOOKUP($H112,Quest_Tracker!$A$2:$I$900,9,FALSE))</f>
        <v/>
      </c>
      <c r="L112" s="59" t="str">
        <f>ifna(VLOOKUP($H112,Quest_Tracker!$A$2:$I$900,3,FALSE))</f>
        <v/>
      </c>
      <c r="M112" s="60" t="str">
        <f>ifna(VLOOKUP($H112,Quest_Tracker!$A$2:$I$900,4,FALSE))</f>
        <v/>
      </c>
    </row>
    <row r="113">
      <c r="B113" s="62"/>
      <c r="C113" s="14" t="b">
        <v>0</v>
      </c>
      <c r="D113" s="54"/>
      <c r="E113" s="55"/>
      <c r="F113" s="56"/>
      <c r="H113" s="57"/>
      <c r="I113" s="2"/>
      <c r="J113" s="34" t="str">
        <f>ifna(HYPERLINK("#gid=1523906944&amp;range="&amp;REPLACE(REPLACE(Address(CELL("row",VLOOKUP($H113,Quest_Tracker!$A$2:$B$900,2,FALSE)),CELL("col",VLOOKUP($H113,Quest_Tracker!$A$2:$B$900,2,FALSE))),1,1,""),2,1,""),VLOOKUP($H113,Quest_Tracker!$A$2:$B$900,2,FALSE)))</f>
        <v/>
      </c>
      <c r="K113" s="59" t="str">
        <f>ifna(VLOOKUP($H113,Quest_Tracker!$A$2:$I$900,9,FALSE))</f>
        <v/>
      </c>
      <c r="L113" s="59" t="str">
        <f>ifna(VLOOKUP($H113,Quest_Tracker!$A$2:$I$900,3,FALSE))</f>
        <v/>
      </c>
      <c r="M113" s="60" t="str">
        <f>ifna(VLOOKUP($H113,Quest_Tracker!$A$2:$I$900,4,FALSE))</f>
        <v/>
      </c>
    </row>
    <row r="114">
      <c r="B114" s="62"/>
      <c r="C114" s="14" t="b">
        <v>0</v>
      </c>
      <c r="D114" s="54"/>
      <c r="E114" s="55"/>
      <c r="F114" s="56"/>
      <c r="H114" s="57"/>
      <c r="I114" s="2"/>
      <c r="J114" s="34" t="str">
        <f>ifna(HYPERLINK("#gid=1523906944&amp;range="&amp;REPLACE(REPLACE(Address(CELL("row",VLOOKUP($H114,Quest_Tracker!$A$2:$B$900,2,FALSE)),CELL("col",VLOOKUP($H114,Quest_Tracker!$A$2:$B$900,2,FALSE))),1,1,""),2,1,""),VLOOKUP($H114,Quest_Tracker!$A$2:$B$900,2,FALSE)))</f>
        <v/>
      </c>
      <c r="K114" s="59" t="str">
        <f>ifna(VLOOKUP($H114,Quest_Tracker!$A$2:$I$900,9,FALSE))</f>
        <v/>
      </c>
      <c r="L114" s="59" t="str">
        <f>ifna(VLOOKUP($H114,Quest_Tracker!$A$2:$I$900,3,FALSE))</f>
        <v/>
      </c>
      <c r="M114" s="60" t="str">
        <f>ifna(VLOOKUP($H114,Quest_Tracker!$A$2:$I$900,4,FALSE))</f>
        <v/>
      </c>
    </row>
    <row r="115">
      <c r="B115" s="62"/>
      <c r="C115" s="14" t="b">
        <v>0</v>
      </c>
      <c r="D115" s="54"/>
      <c r="E115" s="55"/>
      <c r="F115" s="56"/>
      <c r="H115" s="57"/>
      <c r="I115" s="2"/>
      <c r="J115" s="34" t="str">
        <f>ifna(HYPERLINK("#gid=1523906944&amp;range="&amp;REPLACE(REPLACE(Address(CELL("row",VLOOKUP($H115,Quest_Tracker!$A$2:$B$900,2,FALSE)),CELL("col",VLOOKUP($H115,Quest_Tracker!$A$2:$B$900,2,FALSE))),1,1,""),2,1,""),VLOOKUP($H115,Quest_Tracker!$A$2:$B$900,2,FALSE)))</f>
        <v/>
      </c>
      <c r="K115" s="59" t="str">
        <f>ifna(VLOOKUP($H115,Quest_Tracker!$A$2:$I$900,9,FALSE))</f>
        <v/>
      </c>
      <c r="L115" s="59" t="str">
        <f>ifna(VLOOKUP($H115,Quest_Tracker!$A$2:$I$900,3,FALSE))</f>
        <v/>
      </c>
      <c r="M115" s="60" t="str">
        <f>ifna(VLOOKUP($H115,Quest_Tracker!$A$2:$I$900,4,FALSE))</f>
        <v/>
      </c>
    </row>
    <row r="116">
      <c r="B116" s="62"/>
      <c r="C116" s="14" t="b">
        <v>0</v>
      </c>
      <c r="D116" s="54"/>
      <c r="E116" s="55"/>
      <c r="F116" s="56"/>
      <c r="H116" s="57"/>
      <c r="I116" s="2"/>
      <c r="J116" s="34" t="str">
        <f>ifna(HYPERLINK("#gid=1523906944&amp;range="&amp;REPLACE(REPLACE(Address(CELL("row",VLOOKUP($H116,Quest_Tracker!$A$2:$B$900,2,FALSE)),CELL("col",VLOOKUP($H116,Quest_Tracker!$A$2:$B$900,2,FALSE))),1,1,""),2,1,""),VLOOKUP($H116,Quest_Tracker!$A$2:$B$900,2,FALSE)))</f>
        <v/>
      </c>
      <c r="K116" s="59" t="str">
        <f>ifna(VLOOKUP($H116,Quest_Tracker!$A$2:$I$900,9,FALSE))</f>
        <v/>
      </c>
      <c r="L116" s="59" t="str">
        <f>ifna(VLOOKUP($H116,Quest_Tracker!$A$2:$I$900,3,FALSE))</f>
        <v/>
      </c>
      <c r="M116" s="60" t="str">
        <f>ifna(VLOOKUP($H116,Quest_Tracker!$A$2:$I$900,4,FALSE))</f>
        <v/>
      </c>
    </row>
    <row r="117">
      <c r="B117" s="62"/>
      <c r="C117" s="14" t="b">
        <v>0</v>
      </c>
      <c r="D117" s="54"/>
      <c r="E117" s="55"/>
      <c r="F117" s="56"/>
      <c r="H117" s="57"/>
      <c r="I117" s="2"/>
      <c r="J117" s="34" t="str">
        <f>ifna(HYPERLINK("#gid=1523906944&amp;range="&amp;REPLACE(REPLACE(Address(CELL("row",VLOOKUP($H117,Quest_Tracker!$A$2:$B$900,2,FALSE)),CELL("col",VLOOKUP($H117,Quest_Tracker!$A$2:$B$900,2,FALSE))),1,1,""),2,1,""),VLOOKUP($H117,Quest_Tracker!$A$2:$B$900,2,FALSE)))</f>
        <v/>
      </c>
      <c r="K117" s="59" t="str">
        <f>ifna(VLOOKUP($H117,Quest_Tracker!$A$2:$I$900,9,FALSE))</f>
        <v/>
      </c>
      <c r="L117" s="59" t="str">
        <f>ifna(VLOOKUP($H117,Quest_Tracker!$A$2:$I$900,3,FALSE))</f>
        <v/>
      </c>
      <c r="M117" s="60" t="str">
        <f>ifna(VLOOKUP($H117,Quest_Tracker!$A$2:$I$900,4,FALSE))</f>
        <v/>
      </c>
    </row>
    <row r="118">
      <c r="B118" s="62"/>
      <c r="C118" s="14" t="b">
        <v>0</v>
      </c>
      <c r="D118" s="54"/>
      <c r="E118" s="55"/>
      <c r="F118" s="56"/>
      <c r="H118" s="57"/>
      <c r="I118" s="2"/>
      <c r="J118" s="34" t="str">
        <f>ifna(HYPERLINK("#gid=1523906944&amp;range="&amp;REPLACE(REPLACE(Address(CELL("row",VLOOKUP($H118,Quest_Tracker!$A$2:$B$900,2,FALSE)),CELL("col",VLOOKUP($H118,Quest_Tracker!$A$2:$B$900,2,FALSE))),1,1,""),2,1,""),VLOOKUP($H118,Quest_Tracker!$A$2:$B$900,2,FALSE)))</f>
        <v/>
      </c>
      <c r="K118" s="59" t="str">
        <f>ifna(VLOOKUP($H118,Quest_Tracker!$A$2:$I$900,9,FALSE))</f>
        <v/>
      </c>
      <c r="L118" s="59" t="str">
        <f>ifna(VLOOKUP($H118,Quest_Tracker!$A$2:$I$900,3,FALSE))</f>
        <v/>
      </c>
      <c r="M118" s="60" t="str">
        <f>ifna(VLOOKUP($H118,Quest_Tracker!$A$2:$I$900,4,FALSE))</f>
        <v/>
      </c>
    </row>
    <row r="119">
      <c r="B119" s="62"/>
      <c r="C119" s="14" t="b">
        <v>0</v>
      </c>
      <c r="D119" s="54"/>
      <c r="E119" s="55"/>
      <c r="F119" s="56"/>
      <c r="H119" s="57"/>
      <c r="I119" s="2"/>
      <c r="J119" s="34" t="str">
        <f>ifna(HYPERLINK("#gid=1523906944&amp;range="&amp;REPLACE(REPLACE(Address(CELL("row",VLOOKUP($H119,Quest_Tracker!$A$2:$B$900,2,FALSE)),CELL("col",VLOOKUP($H119,Quest_Tracker!$A$2:$B$900,2,FALSE))),1,1,""),2,1,""),VLOOKUP($H119,Quest_Tracker!$A$2:$B$900,2,FALSE)))</f>
        <v/>
      </c>
      <c r="K119" s="59" t="str">
        <f>ifna(VLOOKUP($H119,Quest_Tracker!$A$2:$I$900,9,FALSE))</f>
        <v/>
      </c>
      <c r="L119" s="59" t="str">
        <f>ifna(VLOOKUP($H119,Quest_Tracker!$A$2:$I$900,3,FALSE))</f>
        <v/>
      </c>
      <c r="M119" s="60" t="str">
        <f>ifna(VLOOKUP($H119,Quest_Tracker!$A$2:$I$900,4,FALSE))</f>
        <v/>
      </c>
    </row>
    <row r="120">
      <c r="B120" s="62"/>
      <c r="C120" s="14" t="b">
        <v>0</v>
      </c>
      <c r="D120" s="54"/>
      <c r="E120" s="55"/>
      <c r="F120" s="56"/>
      <c r="H120" s="57"/>
      <c r="I120" s="2"/>
      <c r="J120" s="34" t="str">
        <f>ifna(HYPERLINK("#gid=1523906944&amp;range="&amp;REPLACE(REPLACE(Address(CELL("row",VLOOKUP($H120,Quest_Tracker!$A$2:$B$900,2,FALSE)),CELL("col",VLOOKUP($H120,Quest_Tracker!$A$2:$B$900,2,FALSE))),1,1,""),2,1,""),VLOOKUP($H120,Quest_Tracker!$A$2:$B$900,2,FALSE)))</f>
        <v/>
      </c>
      <c r="K120" s="59" t="str">
        <f>ifna(VLOOKUP($H120,Quest_Tracker!$A$2:$I$900,9,FALSE))</f>
        <v/>
      </c>
      <c r="L120" s="59" t="str">
        <f>ifna(VLOOKUP($H120,Quest_Tracker!$A$2:$I$900,3,FALSE))</f>
        <v/>
      </c>
      <c r="M120" s="60" t="str">
        <f>ifna(VLOOKUP($H120,Quest_Tracker!$A$2:$I$900,4,FALSE))</f>
        <v/>
      </c>
    </row>
    <row r="121">
      <c r="B121" s="62"/>
      <c r="C121" s="14" t="b">
        <v>0</v>
      </c>
      <c r="D121" s="54"/>
      <c r="E121" s="55"/>
      <c r="F121" s="56"/>
      <c r="H121" s="57"/>
      <c r="I121" s="2"/>
      <c r="J121" s="34" t="str">
        <f>ifna(HYPERLINK("#gid=1523906944&amp;range="&amp;REPLACE(REPLACE(Address(CELL("row",VLOOKUP($H121,Quest_Tracker!$A$2:$B$900,2,FALSE)),CELL("col",VLOOKUP($H121,Quest_Tracker!$A$2:$B$900,2,FALSE))),1,1,""),2,1,""),VLOOKUP($H121,Quest_Tracker!$A$2:$B$900,2,FALSE)))</f>
        <v/>
      </c>
      <c r="K121" s="59" t="str">
        <f>ifna(VLOOKUP($H121,Quest_Tracker!$A$2:$I$900,9,FALSE))</f>
        <v/>
      </c>
      <c r="L121" s="59" t="str">
        <f>ifna(VLOOKUP($H121,Quest_Tracker!$A$2:$I$900,3,FALSE))</f>
        <v/>
      </c>
      <c r="M121" s="60" t="str">
        <f>ifna(VLOOKUP($H121,Quest_Tracker!$A$2:$I$900,4,FALSE))</f>
        <v/>
      </c>
    </row>
    <row r="122">
      <c r="B122" s="62"/>
      <c r="C122" s="14" t="b">
        <v>0</v>
      </c>
      <c r="D122" s="54"/>
      <c r="E122" s="55"/>
      <c r="F122" s="56"/>
      <c r="H122" s="57"/>
      <c r="I122" s="2"/>
      <c r="J122" s="34" t="str">
        <f>ifna(HYPERLINK("#gid=1523906944&amp;range="&amp;REPLACE(REPLACE(Address(CELL("row",VLOOKUP($H122,Quest_Tracker!$A$2:$B$900,2,FALSE)),CELL("col",VLOOKUP($H122,Quest_Tracker!$A$2:$B$900,2,FALSE))),1,1,""),2,1,""),VLOOKUP($H122,Quest_Tracker!$A$2:$B$900,2,FALSE)))</f>
        <v/>
      </c>
      <c r="K122" s="59" t="str">
        <f>ifna(VLOOKUP($H122,Quest_Tracker!$A$2:$I$900,9,FALSE))</f>
        <v/>
      </c>
      <c r="L122" s="59" t="str">
        <f>ifna(VLOOKUP($H122,Quest_Tracker!$A$2:$I$900,3,FALSE))</f>
        <v/>
      </c>
      <c r="M122" s="60" t="str">
        <f>ifna(VLOOKUP($H122,Quest_Tracker!$A$2:$I$900,4,FALSE))</f>
        <v/>
      </c>
    </row>
    <row r="123">
      <c r="B123" s="62"/>
      <c r="C123" s="14" t="b">
        <v>0</v>
      </c>
      <c r="D123" s="54"/>
      <c r="E123" s="55"/>
      <c r="F123" s="56"/>
      <c r="H123" s="57"/>
      <c r="I123" s="2"/>
      <c r="J123" s="34" t="str">
        <f>ifna(HYPERLINK("#gid=1523906944&amp;range="&amp;REPLACE(REPLACE(Address(CELL("row",VLOOKUP($H123,Quest_Tracker!$A$2:$B$900,2,FALSE)),CELL("col",VLOOKUP($H123,Quest_Tracker!$A$2:$B$900,2,FALSE))),1,1,""),2,1,""),VLOOKUP($H123,Quest_Tracker!$A$2:$B$900,2,FALSE)))</f>
        <v/>
      </c>
      <c r="K123" s="59" t="str">
        <f>ifna(VLOOKUP($H123,Quest_Tracker!$A$2:$I$900,9,FALSE))</f>
        <v/>
      </c>
      <c r="L123" s="59" t="str">
        <f>ifna(VLOOKUP($H123,Quest_Tracker!$A$2:$I$900,3,FALSE))</f>
        <v/>
      </c>
      <c r="M123" s="60" t="str">
        <f>ifna(VLOOKUP($H123,Quest_Tracker!$A$2:$I$900,4,FALSE))</f>
        <v/>
      </c>
    </row>
    <row r="124">
      <c r="B124" s="62"/>
      <c r="C124" s="14" t="b">
        <v>0</v>
      </c>
      <c r="D124" s="54"/>
      <c r="E124" s="55"/>
      <c r="F124" s="56"/>
      <c r="H124" s="57"/>
      <c r="I124" s="2"/>
      <c r="J124" s="34" t="str">
        <f>ifna(HYPERLINK("#gid=1523906944&amp;range="&amp;REPLACE(REPLACE(Address(CELL("row",VLOOKUP($H124,Quest_Tracker!$A$2:$B$900,2,FALSE)),CELL("col",VLOOKUP($H124,Quest_Tracker!$A$2:$B$900,2,FALSE))),1,1,""),2,1,""),VLOOKUP($H124,Quest_Tracker!$A$2:$B$900,2,FALSE)))</f>
        <v/>
      </c>
      <c r="K124" s="59" t="str">
        <f>ifna(VLOOKUP($H124,Quest_Tracker!$A$2:$I$900,9,FALSE))</f>
        <v/>
      </c>
      <c r="L124" s="59" t="str">
        <f>ifna(VLOOKUP($H124,Quest_Tracker!$A$2:$I$900,3,FALSE))</f>
        <v/>
      </c>
      <c r="M124" s="60" t="str">
        <f>ifna(VLOOKUP($H124,Quest_Tracker!$A$2:$I$900,4,FALSE))</f>
        <v/>
      </c>
    </row>
    <row r="125">
      <c r="B125" s="62"/>
      <c r="C125" s="14" t="b">
        <v>0</v>
      </c>
      <c r="D125" s="54"/>
      <c r="E125" s="55"/>
      <c r="F125" s="56"/>
      <c r="H125" s="57"/>
      <c r="I125" s="2"/>
      <c r="J125" s="34" t="str">
        <f>ifna(HYPERLINK("#gid=1523906944&amp;range="&amp;REPLACE(REPLACE(Address(CELL("row",VLOOKUP($H125,Quest_Tracker!$A$2:$B$900,2,FALSE)),CELL("col",VLOOKUP($H125,Quest_Tracker!$A$2:$B$900,2,FALSE))),1,1,""),2,1,""),VLOOKUP($H125,Quest_Tracker!$A$2:$B$900,2,FALSE)))</f>
        <v/>
      </c>
      <c r="K125" s="59" t="str">
        <f>ifna(VLOOKUP($H125,Quest_Tracker!$A$2:$I$900,9,FALSE))</f>
        <v/>
      </c>
      <c r="L125" s="59" t="str">
        <f>ifna(VLOOKUP($H125,Quest_Tracker!$A$2:$I$900,3,FALSE))</f>
        <v/>
      </c>
      <c r="M125" s="60" t="str">
        <f>ifna(VLOOKUP($H125,Quest_Tracker!$A$2:$I$900,4,FALSE))</f>
        <v/>
      </c>
    </row>
    <row r="126">
      <c r="B126" s="62"/>
      <c r="C126" s="14" t="b">
        <v>0</v>
      </c>
      <c r="D126" s="54"/>
      <c r="E126" s="55"/>
      <c r="F126" s="56"/>
      <c r="H126" s="57"/>
      <c r="I126" s="2"/>
      <c r="J126" s="34" t="str">
        <f>ifna(HYPERLINK("#gid=1523906944&amp;range="&amp;REPLACE(REPLACE(Address(CELL("row",VLOOKUP($H126,Quest_Tracker!$A$2:$B$900,2,FALSE)),CELL("col",VLOOKUP($H126,Quest_Tracker!$A$2:$B$900,2,FALSE))),1,1,""),2,1,""),VLOOKUP($H126,Quest_Tracker!$A$2:$B$900,2,FALSE)))</f>
        <v/>
      </c>
      <c r="K126" s="59" t="str">
        <f>ifna(VLOOKUP($H126,Quest_Tracker!$A$2:$I$900,9,FALSE))</f>
        <v/>
      </c>
      <c r="L126" s="59" t="str">
        <f>ifna(VLOOKUP($H126,Quest_Tracker!$A$2:$I$900,3,FALSE))</f>
        <v/>
      </c>
      <c r="M126" s="60" t="str">
        <f>ifna(VLOOKUP($H126,Quest_Tracker!$A$2:$I$900,4,FALSE))</f>
        <v/>
      </c>
    </row>
    <row r="127">
      <c r="B127" s="62"/>
      <c r="C127" s="14" t="b">
        <v>0</v>
      </c>
      <c r="D127" s="54"/>
      <c r="E127" s="55"/>
      <c r="F127" s="56"/>
      <c r="H127" s="57"/>
      <c r="I127" s="2"/>
      <c r="J127" s="34" t="str">
        <f>ifna(HYPERLINK("#gid=1523906944&amp;range="&amp;REPLACE(REPLACE(Address(CELL("row",VLOOKUP($H127,Quest_Tracker!$A$2:$B$900,2,FALSE)),CELL("col",VLOOKUP($H127,Quest_Tracker!$A$2:$B$900,2,FALSE))),1,1,""),2,1,""),VLOOKUP($H127,Quest_Tracker!$A$2:$B$900,2,FALSE)))</f>
        <v/>
      </c>
      <c r="K127" s="59" t="str">
        <f>ifna(VLOOKUP($H127,Quest_Tracker!$A$2:$I$900,9,FALSE))</f>
        <v/>
      </c>
      <c r="L127" s="59" t="str">
        <f>ifna(VLOOKUP($H127,Quest_Tracker!$A$2:$I$900,3,FALSE))</f>
        <v/>
      </c>
      <c r="M127" s="60" t="str">
        <f>ifna(VLOOKUP($H127,Quest_Tracker!$A$2:$I$900,4,FALSE))</f>
        <v/>
      </c>
    </row>
    <row r="128">
      <c r="B128" s="62"/>
      <c r="C128" s="14" t="b">
        <v>0</v>
      </c>
      <c r="D128" s="54"/>
      <c r="E128" s="55"/>
      <c r="F128" s="56"/>
      <c r="H128" s="57"/>
      <c r="I128" s="2"/>
      <c r="J128" s="34" t="str">
        <f>ifna(HYPERLINK("#gid=1523906944&amp;range="&amp;REPLACE(REPLACE(Address(CELL("row",VLOOKUP($H128,Quest_Tracker!$A$2:$B$900,2,FALSE)),CELL("col",VLOOKUP($H128,Quest_Tracker!$A$2:$B$900,2,FALSE))),1,1,""),2,1,""),VLOOKUP($H128,Quest_Tracker!$A$2:$B$900,2,FALSE)))</f>
        <v/>
      </c>
      <c r="K128" s="59" t="str">
        <f>ifna(VLOOKUP($H128,Quest_Tracker!$A$2:$I$900,9,FALSE))</f>
        <v/>
      </c>
      <c r="L128" s="59" t="str">
        <f>ifna(VLOOKUP($H128,Quest_Tracker!$A$2:$I$900,3,FALSE))</f>
        <v/>
      </c>
      <c r="M128" s="60" t="str">
        <f>ifna(VLOOKUP($H128,Quest_Tracker!$A$2:$I$900,4,FALSE))</f>
        <v/>
      </c>
    </row>
    <row r="129">
      <c r="B129" s="62"/>
      <c r="C129" s="14" t="b">
        <v>0</v>
      </c>
      <c r="D129" s="54"/>
      <c r="E129" s="55"/>
      <c r="F129" s="56"/>
      <c r="H129" s="57"/>
      <c r="I129" s="2"/>
      <c r="J129" s="34" t="str">
        <f>ifna(HYPERLINK("#gid=1523906944&amp;range="&amp;REPLACE(REPLACE(Address(CELL("row",VLOOKUP($H129,Quest_Tracker!$A$2:$B$900,2,FALSE)),CELL("col",VLOOKUP($H129,Quest_Tracker!$A$2:$B$900,2,FALSE))),1,1,""),2,1,""),VLOOKUP($H129,Quest_Tracker!$A$2:$B$900,2,FALSE)))</f>
        <v/>
      </c>
      <c r="K129" s="59" t="str">
        <f>ifna(VLOOKUP($H129,Quest_Tracker!$A$2:$I$900,9,FALSE))</f>
        <v/>
      </c>
      <c r="L129" s="59" t="str">
        <f>ifna(VLOOKUP($H129,Quest_Tracker!$A$2:$I$900,3,FALSE))</f>
        <v/>
      </c>
      <c r="M129" s="60" t="str">
        <f>ifna(VLOOKUP($H129,Quest_Tracker!$A$2:$I$900,4,FALSE))</f>
        <v/>
      </c>
    </row>
    <row r="130">
      <c r="B130" s="62"/>
      <c r="C130" s="14" t="b">
        <v>0</v>
      </c>
      <c r="D130" s="54"/>
      <c r="E130" s="55"/>
      <c r="F130" s="56"/>
      <c r="H130" s="57"/>
      <c r="I130" s="2"/>
      <c r="J130" s="34" t="str">
        <f>ifna(HYPERLINK("#gid=1523906944&amp;range="&amp;REPLACE(REPLACE(Address(CELL("row",VLOOKUP($H130,Quest_Tracker!$A$2:$B$900,2,FALSE)),CELL("col",VLOOKUP($H130,Quest_Tracker!$A$2:$B$900,2,FALSE))),1,1,""),2,1,""),VLOOKUP($H130,Quest_Tracker!$A$2:$B$900,2,FALSE)))</f>
        <v/>
      </c>
      <c r="K130" s="59" t="str">
        <f>ifna(VLOOKUP($H130,Quest_Tracker!$A$2:$I$900,9,FALSE))</f>
        <v/>
      </c>
      <c r="L130" s="59" t="str">
        <f>ifna(VLOOKUP($H130,Quest_Tracker!$A$2:$I$900,3,FALSE))</f>
        <v/>
      </c>
      <c r="M130" s="60" t="str">
        <f>ifna(VLOOKUP($H130,Quest_Tracker!$A$2:$I$900,4,FALSE))</f>
        <v/>
      </c>
    </row>
    <row r="131">
      <c r="B131" s="62"/>
      <c r="C131" s="14" t="b">
        <v>0</v>
      </c>
      <c r="D131" s="54"/>
      <c r="E131" s="55"/>
      <c r="F131" s="56"/>
      <c r="H131" s="57"/>
      <c r="I131" s="2"/>
      <c r="J131" s="34" t="str">
        <f>ifna(HYPERLINK("#gid=1523906944&amp;range="&amp;REPLACE(REPLACE(Address(CELL("row",VLOOKUP($H131,Quest_Tracker!$A$2:$B$900,2,FALSE)),CELL("col",VLOOKUP($H131,Quest_Tracker!$A$2:$B$900,2,FALSE))),1,1,""),2,1,""),VLOOKUP($H131,Quest_Tracker!$A$2:$B$900,2,FALSE)))</f>
        <v/>
      </c>
      <c r="K131" s="59" t="str">
        <f>ifna(VLOOKUP($H131,Quest_Tracker!$A$2:$I$900,9,FALSE))</f>
        <v/>
      </c>
      <c r="L131" s="59" t="str">
        <f>ifna(VLOOKUP($H131,Quest_Tracker!$A$2:$I$900,3,FALSE))</f>
        <v/>
      </c>
      <c r="M131" s="60" t="str">
        <f>ifna(VLOOKUP($H131,Quest_Tracker!$A$2:$I$900,4,FALSE))</f>
        <v/>
      </c>
    </row>
    <row r="132">
      <c r="B132" s="62"/>
      <c r="C132" s="14" t="b">
        <v>0</v>
      </c>
      <c r="D132" s="54"/>
      <c r="E132" s="55"/>
      <c r="F132" s="56"/>
      <c r="H132" s="57"/>
      <c r="I132" s="2"/>
      <c r="J132" s="34" t="str">
        <f>ifna(HYPERLINK("#gid=1523906944&amp;range="&amp;REPLACE(REPLACE(Address(CELL("row",VLOOKUP($H132,Quest_Tracker!$A$2:$B$900,2,FALSE)),CELL("col",VLOOKUP($H132,Quest_Tracker!$A$2:$B$900,2,FALSE))),1,1,""),2,1,""),VLOOKUP($H132,Quest_Tracker!$A$2:$B$900,2,FALSE)))</f>
        <v/>
      </c>
      <c r="K132" s="59" t="str">
        <f>ifna(VLOOKUP($H132,Quest_Tracker!$A$2:$I$900,9,FALSE))</f>
        <v/>
      </c>
      <c r="L132" s="59" t="str">
        <f>ifna(VLOOKUP($H132,Quest_Tracker!$A$2:$I$900,3,FALSE))</f>
        <v/>
      </c>
      <c r="M132" s="60" t="str">
        <f>ifna(VLOOKUP($H132,Quest_Tracker!$A$2:$I$900,4,FALSE))</f>
        <v/>
      </c>
    </row>
    <row r="133">
      <c r="B133" s="62"/>
      <c r="C133" s="14" t="b">
        <v>0</v>
      </c>
      <c r="D133" s="54"/>
      <c r="E133" s="55"/>
      <c r="F133" s="56"/>
      <c r="H133" s="57"/>
      <c r="I133" s="2"/>
      <c r="J133" s="34" t="str">
        <f>ifna(HYPERLINK("#gid=1523906944&amp;range="&amp;REPLACE(REPLACE(Address(CELL("row",VLOOKUP($H133,Quest_Tracker!$A$2:$B$900,2,FALSE)),CELL("col",VLOOKUP($H133,Quest_Tracker!$A$2:$B$900,2,FALSE))),1,1,""),2,1,""),VLOOKUP($H133,Quest_Tracker!$A$2:$B$900,2,FALSE)))</f>
        <v/>
      </c>
      <c r="K133" s="59" t="str">
        <f>ifna(VLOOKUP($H133,Quest_Tracker!$A$2:$I$900,9,FALSE))</f>
        <v/>
      </c>
      <c r="L133" s="59" t="str">
        <f>ifna(VLOOKUP($H133,Quest_Tracker!$A$2:$I$900,3,FALSE))</f>
        <v/>
      </c>
      <c r="M133" s="60" t="str">
        <f>ifna(VLOOKUP($H133,Quest_Tracker!$A$2:$I$900,4,FALSE))</f>
        <v/>
      </c>
    </row>
    <row r="134">
      <c r="B134" s="62"/>
      <c r="C134" s="14" t="b">
        <v>0</v>
      </c>
      <c r="D134" s="54"/>
      <c r="E134" s="55"/>
      <c r="F134" s="56"/>
      <c r="H134" s="57"/>
      <c r="I134" s="2"/>
      <c r="J134" s="34" t="str">
        <f>ifna(HYPERLINK("#gid=1523906944&amp;range="&amp;REPLACE(REPLACE(Address(CELL("row",VLOOKUP($H134,Quest_Tracker!$A$2:$B$900,2,FALSE)),CELL("col",VLOOKUP($H134,Quest_Tracker!$A$2:$B$900,2,FALSE))),1,1,""),2,1,""),VLOOKUP($H134,Quest_Tracker!$A$2:$B$900,2,FALSE)))</f>
        <v/>
      </c>
      <c r="K134" s="59" t="str">
        <f>ifna(VLOOKUP($H134,Quest_Tracker!$A$2:$I$900,9,FALSE))</f>
        <v/>
      </c>
      <c r="L134" s="59" t="str">
        <f>ifna(VLOOKUP($H134,Quest_Tracker!$A$2:$I$900,3,FALSE))</f>
        <v/>
      </c>
      <c r="M134" s="60" t="str">
        <f>ifna(VLOOKUP($H134,Quest_Tracker!$A$2:$I$900,4,FALSE))</f>
        <v/>
      </c>
    </row>
    <row r="135">
      <c r="B135" s="62"/>
      <c r="C135" s="14" t="b">
        <v>0</v>
      </c>
      <c r="D135" s="54"/>
      <c r="E135" s="55"/>
      <c r="F135" s="56"/>
      <c r="H135" s="57"/>
      <c r="I135" s="2"/>
      <c r="J135" s="34" t="str">
        <f>ifna(HYPERLINK("#gid=1523906944&amp;range="&amp;REPLACE(REPLACE(Address(CELL("row",VLOOKUP($H135,Quest_Tracker!$A$2:$B$900,2,FALSE)),CELL("col",VLOOKUP($H135,Quest_Tracker!$A$2:$B$900,2,FALSE))),1,1,""),2,1,""),VLOOKUP($H135,Quest_Tracker!$A$2:$B$900,2,FALSE)))</f>
        <v/>
      </c>
      <c r="K135" s="59" t="str">
        <f>ifna(VLOOKUP($H135,Quest_Tracker!$A$2:$I$900,9,FALSE))</f>
        <v/>
      </c>
      <c r="L135" s="59" t="str">
        <f>ifna(VLOOKUP($H135,Quest_Tracker!$A$2:$I$900,3,FALSE))</f>
        <v/>
      </c>
      <c r="M135" s="60"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3" t="s">
        <v>86</v>
      </c>
      <c r="H1" s="14" t="s">
        <v>87</v>
      </c>
      <c r="I1" s="38" t="s">
        <v>88</v>
      </c>
      <c r="J1" s="63" t="s">
        <v>89</v>
      </c>
      <c r="K1" s="14" t="s">
        <v>90</v>
      </c>
      <c r="P1" s="16">
        <f>VLOOKUP($K$1,Classes!$A$2:$AX993,MATCH("eleselect",Classes!$A1:$AX$1,0),FALSE)</f>
        <v>0</v>
      </c>
      <c r="Q1" s="16">
        <f>IFNA(VLOOKUP($K$3,EnhancedClasses!$B$2:$AX993,MATCH("eleselect",EnhancedClasses!$B1:$AX$1,0),FALSE),"")</f>
        <v>0</v>
      </c>
    </row>
    <row r="2">
      <c r="A2" s="63" t="s">
        <v>7</v>
      </c>
      <c r="B2" s="64">
        <v>20.0</v>
      </c>
      <c r="C2" s="65"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3" t="s">
        <v>91</v>
      </c>
      <c r="H2" s="16"/>
      <c r="I2" s="14" t="b">
        <v>1</v>
      </c>
      <c r="J2" s="63" t="s">
        <v>92</v>
      </c>
      <c r="K2" s="14" t="s">
        <v>93</v>
      </c>
      <c r="S2" s="66" t="s">
        <v>94</v>
      </c>
      <c r="T2" s="65"/>
      <c r="U2" s="37"/>
      <c r="V2" s="65"/>
      <c r="W2" s="37" t="str">
        <f>IFERROR(__xludf.DUMMYFUNCTION("QUERY(PossibleSpells!$A$2:$G$24,""Select A,G where G &gt; 0"")"),"Fire")</f>
        <v>Fire</v>
      </c>
      <c r="X2" s="67">
        <f>IFERROR(__xludf.DUMMYFUNCTION("""COMPUTED_VALUE"""),9.0)</f>
        <v>9</v>
      </c>
      <c r="Y2" s="68"/>
      <c r="Z2" s="37"/>
      <c r="AA2" s="37"/>
      <c r="AB2" s="65"/>
    </row>
    <row r="3">
      <c r="A3" s="63" t="s">
        <v>8</v>
      </c>
      <c r="B3" s="64">
        <v>20.0</v>
      </c>
      <c r="C3" s="65"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3" t="s">
        <v>95</v>
      </c>
      <c r="K3" s="14" t="s">
        <v>96</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IFERROR(__xludf.DUMMYFUNCTION("FILTER(EnhancedClasses!$A$2:$B993,EnhancedClasses!$A$2:$A993=$K$2)"),"Viking")</f>
        <v>Viking</v>
      </c>
      <c r="Q3" s="16" t="str">
        <f>IFERROR(__xludf.DUMMYFUNCTION("""COMPUTED_VALUE"""),"Warlord")</f>
        <v>Warlord</v>
      </c>
      <c r="S3" s="66" t="s">
        <v>97</v>
      </c>
      <c r="T3" s="65"/>
      <c r="U3" s="37"/>
      <c r="V3" s="65"/>
      <c r="W3" s="37" t="str">
        <f>IFERROR(__xludf.DUMMYFUNCTION("""COMPUTED_VALUE"""),"Water")</f>
        <v>Water</v>
      </c>
      <c r="X3" s="67">
        <f>IFERROR(__xludf.DUMMYFUNCTION("""COMPUTED_VALUE"""),9.0)</f>
        <v>9</v>
      </c>
      <c r="Y3" s="68"/>
      <c r="Z3" s="37"/>
      <c r="AA3" s="37"/>
      <c r="AB3" s="65"/>
    </row>
    <row r="4">
      <c r="A4" s="63" t="s">
        <v>9</v>
      </c>
      <c r="B4" s="64">
        <v>20.0</v>
      </c>
      <c r="C4" s="65"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3" t="s">
        <v>98</v>
      </c>
      <c r="F4" s="16"/>
      <c r="H4" s="63" t="s">
        <v>99</v>
      </c>
      <c r="I4" s="69">
        <v>6.0</v>
      </c>
      <c r="J4" s="70" t="s">
        <v>100</v>
      </c>
      <c r="K4" s="14" t="s">
        <v>101</v>
      </c>
      <c r="P4" s="16" t="str">
        <f>IFERROR(__xludf.DUMMYFUNCTION("""COMPUTED_VALUE"""),"Viking")</f>
        <v>Viking</v>
      </c>
      <c r="Q4" s="16" t="str">
        <f>IFERROR(__xludf.DUMMYFUNCTION("""COMPUTED_VALUE"""),"Warlock")</f>
        <v>Warlock</v>
      </c>
      <c r="S4" s="66" t="s">
        <v>102</v>
      </c>
      <c r="T4" s="65"/>
      <c r="U4" s="37"/>
      <c r="V4" s="65"/>
      <c r="W4" s="37" t="str">
        <f>IFERROR(__xludf.DUMMYFUNCTION("""COMPUTED_VALUE"""),"Storm")</f>
        <v>Storm</v>
      </c>
      <c r="X4" s="67">
        <f>IFERROR(__xludf.DUMMYFUNCTION("""COMPUTED_VALUE"""),9.0)</f>
        <v>9</v>
      </c>
      <c r="Y4" s="68"/>
      <c r="Z4" s="37"/>
      <c r="AA4" s="37"/>
      <c r="AB4" s="65"/>
    </row>
    <row r="5">
      <c r="A5" s="63" t="s">
        <v>103</v>
      </c>
      <c r="B5" s="64">
        <v>20.0</v>
      </c>
      <c r="C5" s="65"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3" t="s">
        <v>104</v>
      </c>
      <c r="F5" s="14" t="s">
        <v>105</v>
      </c>
      <c r="J5" s="63" t="s">
        <v>106</v>
      </c>
      <c r="K5" s="16"/>
      <c r="S5" s="66" t="s">
        <v>107</v>
      </c>
      <c r="T5" s="65"/>
      <c r="U5" s="37"/>
      <c r="V5" s="37"/>
      <c r="W5" s="37" t="str">
        <f>IFERROR(__xludf.DUMMYFUNCTION("""COMPUTED_VALUE"""),"Earth")</f>
        <v>Earth</v>
      </c>
      <c r="X5" s="67">
        <f>IFERROR(__xludf.DUMMYFUNCTION("""COMPUTED_VALUE"""),9.0)</f>
        <v>9</v>
      </c>
      <c r="Y5" s="68"/>
      <c r="Z5" s="37"/>
      <c r="AA5" s="37"/>
      <c r="AB5" s="65"/>
    </row>
    <row r="6">
      <c r="A6" s="63" t="s">
        <v>108</v>
      </c>
      <c r="B6" s="64">
        <v>20.0</v>
      </c>
      <c r="C6" s="65"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3" t="s">
        <v>109</v>
      </c>
      <c r="F6" s="69"/>
      <c r="H6" s="71" t="s">
        <v>110</v>
      </c>
      <c r="I6" s="18" t="s">
        <v>111</v>
      </c>
      <c r="J6" s="63" t="s">
        <v>112</v>
      </c>
      <c r="K6" s="16"/>
      <c r="S6" s="66" t="s">
        <v>113</v>
      </c>
      <c r="T6" s="65"/>
      <c r="U6" s="37"/>
      <c r="V6" s="65"/>
      <c r="W6" s="37" t="str">
        <f>IFERROR(__xludf.DUMMYFUNCTION("""COMPUTED_VALUE"""),"Light")</f>
        <v>Light</v>
      </c>
      <c r="X6" s="67">
        <f>IFERROR(__xludf.DUMMYFUNCTION("""COMPUTED_VALUE"""),9.0)</f>
        <v>9</v>
      </c>
      <c r="Y6" s="68"/>
      <c r="Z6" s="37"/>
      <c r="AA6" s="37"/>
      <c r="AB6" s="65"/>
    </row>
    <row r="7">
      <c r="A7" s="63" t="s">
        <v>114</v>
      </c>
      <c r="B7" s="64">
        <v>20.0</v>
      </c>
      <c r="C7" s="65"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3" t="s">
        <v>115</v>
      </c>
      <c r="F7" s="69"/>
      <c r="H7" s="72" t="s">
        <v>116</v>
      </c>
      <c r="I7" s="21" t="str">
        <f>IFERROR(VLOOKUP($I$6,AstrologicalSigns!$A$2:$D993,2,FALSE),"")</f>
        <v>The Bull</v>
      </c>
      <c r="J7" s="63" t="s">
        <v>117</v>
      </c>
      <c r="K7" s="16"/>
      <c r="S7" s="66" t="s">
        <v>118</v>
      </c>
      <c r="T7" s="65"/>
      <c r="U7" s="37"/>
      <c r="V7" s="65"/>
      <c r="W7" s="37" t="str">
        <f>IFERROR(__xludf.DUMMYFUNCTION("""COMPUTED_VALUE"""),"Dark")</f>
        <v>Dark</v>
      </c>
      <c r="X7" s="67">
        <f>IFERROR(__xludf.DUMMYFUNCTION("""COMPUTED_VALUE"""),9.0)</f>
        <v>9</v>
      </c>
      <c r="Y7" s="68"/>
      <c r="Z7" s="37"/>
      <c r="AA7" s="37"/>
      <c r="AB7" s="65"/>
    </row>
    <row r="8">
      <c r="A8" s="63" t="s">
        <v>119</v>
      </c>
      <c r="B8" s="64">
        <v>20.0</v>
      </c>
      <c r="C8" s="65"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3" t="s">
        <v>120</v>
      </c>
      <c r="F8" s="69"/>
      <c r="H8" s="73" t="s">
        <v>25</v>
      </c>
      <c r="I8" s="35"/>
      <c r="S8" s="66" t="s">
        <v>121</v>
      </c>
      <c r="T8" s="65"/>
      <c r="U8" s="37"/>
      <c r="V8" s="37"/>
      <c r="W8" s="37" t="str">
        <f>IFERROR(__xludf.DUMMYFUNCTION("""COMPUTED_VALUE"""),"Spirit")</f>
        <v>Spirit</v>
      </c>
      <c r="X8" s="67">
        <f>IFERROR(__xludf.DUMMYFUNCTION("""COMPUTED_VALUE"""),9.0)</f>
        <v>9</v>
      </c>
      <c r="Y8" s="68"/>
      <c r="Z8" s="37"/>
      <c r="AA8" s="37"/>
      <c r="AB8" s="65"/>
    </row>
    <row r="9">
      <c r="A9" s="63" t="s">
        <v>122</v>
      </c>
      <c r="B9" s="64">
        <v>20.0</v>
      </c>
      <c r="C9" s="65"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3" t="s">
        <v>123</v>
      </c>
      <c r="F9" s="69"/>
      <c r="H9" s="74" t="str">
        <f>IFERROR(VLOOKUP($I$6,AstrologicalSigns!$A$2:$D993,3,FALSE),"")</f>
        <v>During each of your turns in battle, you get 1 additional weapon attack as long as you attacked with a weapon.</v>
      </c>
      <c r="I9" s="35"/>
      <c r="J9" s="63" t="s">
        <v>124</v>
      </c>
      <c r="S9" s="66" t="s">
        <v>125</v>
      </c>
      <c r="T9" s="65"/>
      <c r="U9" s="37"/>
      <c r="V9" s="37"/>
      <c r="W9" s="37" t="str">
        <f>IFERROR(__xludf.DUMMYFUNCTION("""COMPUTED_VALUE"""),"Order")</f>
        <v>Order</v>
      </c>
      <c r="X9" s="37">
        <f>IFERROR(__xludf.DUMMYFUNCTION("""COMPUTED_VALUE"""),9.0)</f>
        <v>9</v>
      </c>
      <c r="Y9" s="68"/>
      <c r="Z9" s="37"/>
      <c r="AA9" s="37"/>
      <c r="AB9" s="65"/>
    </row>
    <row r="10">
      <c r="E10" s="63" t="s">
        <v>126</v>
      </c>
      <c r="F10" s="16"/>
      <c r="H10" s="75"/>
      <c r="I10" s="35"/>
      <c r="S10" s="66" t="s">
        <v>127</v>
      </c>
      <c r="T10" s="65"/>
      <c r="U10" s="37"/>
      <c r="V10" s="37"/>
      <c r="W10" s="37" t="str">
        <f>IFERROR(__xludf.DUMMYFUNCTION("""COMPUTED_VALUE"""),"Chaos")</f>
        <v>Chaos</v>
      </c>
      <c r="X10" s="37">
        <f>IFERROR(__xludf.DUMMYFUNCTION("""COMPUTED_VALUE"""),9.0)</f>
        <v>9</v>
      </c>
      <c r="Y10" s="68"/>
      <c r="Z10" s="37"/>
      <c r="AA10" s="37"/>
      <c r="AB10" s="65"/>
    </row>
    <row r="11" ht="18.75" customHeight="1">
      <c r="H11" s="7"/>
      <c r="I11" s="8"/>
      <c r="S11" s="66" t="s">
        <v>128</v>
      </c>
      <c r="T11" s="65"/>
      <c r="U11" s="37"/>
      <c r="V11" s="37"/>
      <c r="W11" s="37" t="str">
        <f>IFERROR(__xludf.DUMMYFUNCTION("""COMPUTED_VALUE"""),"Nature")</f>
        <v>Nature</v>
      </c>
      <c r="X11" s="37">
        <f>IFERROR(__xludf.DUMMYFUNCTION("""COMPUTED_VALUE"""),9.0)</f>
        <v>9</v>
      </c>
      <c r="Y11" s="68"/>
      <c r="Z11" s="37"/>
      <c r="AA11" s="37"/>
      <c r="AB11" s="65"/>
    </row>
    <row r="12">
      <c r="B12" s="38" t="s">
        <v>129</v>
      </c>
      <c r="C12" s="38" t="s">
        <v>130</v>
      </c>
      <c r="E12" s="63" t="str">
        <f>"Damage Orb ("&amp;IF(ISBLANK(F12),0,1)&amp;"/1):"</f>
        <v>Damage Orb (0/1):</v>
      </c>
      <c r="F12" s="14"/>
      <c r="G12" s="63" t="s">
        <v>131</v>
      </c>
      <c r="H12" s="14"/>
      <c r="I12" s="76" t="s">
        <v>132</v>
      </c>
      <c r="J12" s="14" t="str">
        <f>Config!B3</f>
        <v>1mNoojYCRU_5eQ4skcH3ywN5n3JMKPeua1AFji0FLWdI</v>
      </c>
      <c r="S12" s="66" t="s">
        <v>133</v>
      </c>
      <c r="T12" s="65"/>
      <c r="U12" s="37"/>
      <c r="V12" s="37"/>
      <c r="W12" s="37" t="str">
        <f>IFERROR(__xludf.DUMMYFUNCTION("""COMPUTED_VALUE"""),"Physical")</f>
        <v>Physical</v>
      </c>
      <c r="X12" s="37">
        <f>IFERROR(__xludf.DUMMYFUNCTION("""COMPUTED_VALUE"""),9.0)</f>
        <v>9</v>
      </c>
      <c r="Y12" s="68"/>
      <c r="Z12" s="37"/>
      <c r="AA12" s="37"/>
      <c r="AB12" s="65"/>
    </row>
    <row r="13">
      <c r="B13" s="77">
        <v>200.0</v>
      </c>
      <c r="C13" s="78">
        <f>(Rounddown(B13/10)*5)</f>
        <v>100</v>
      </c>
      <c r="E13" s="63" t="s">
        <v>22</v>
      </c>
      <c r="F13" s="14"/>
      <c r="G13" s="63" t="s">
        <v>134</v>
      </c>
      <c r="H13" s="14"/>
      <c r="J13" s="16"/>
      <c r="S13" s="66" t="s">
        <v>135</v>
      </c>
      <c r="T13" s="65"/>
      <c r="U13" s="37"/>
      <c r="V13" s="37"/>
      <c r="W13" s="37" t="str">
        <f>IFERROR(__xludf.DUMMYFUNCTION("""COMPUTED_VALUE"""),"Melee")</f>
        <v>Melee</v>
      </c>
      <c r="X13" s="37">
        <f>IFERROR(__xludf.DUMMYFUNCTION("""COMPUTED_VALUE"""),9.0)</f>
        <v>9</v>
      </c>
      <c r="Y13" s="68"/>
      <c r="Z13" s="37"/>
      <c r="AA13" s="37"/>
      <c r="AB13" s="65"/>
    </row>
    <row r="14">
      <c r="C14" s="16" t="str">
        <f>SUM(E18:J18)&amp;"/"&amp;C13</f>
        <v>100/100</v>
      </c>
      <c r="E14" s="63" t="s">
        <v>136</v>
      </c>
      <c r="F14" s="14"/>
      <c r="G14" s="63" t="s">
        <v>137</v>
      </c>
      <c r="H14" s="14"/>
      <c r="J14" s="14" t="s">
        <v>138</v>
      </c>
      <c r="S14" s="66" t="s">
        <v>139</v>
      </c>
      <c r="T14" s="65"/>
      <c r="U14" s="37"/>
      <c r="V14" s="37"/>
      <c r="W14" s="37" t="str">
        <f>IFERROR(__xludf.DUMMYFUNCTION("""COMPUTED_VALUE"""),"Ranged")</f>
        <v>Ranged</v>
      </c>
      <c r="X14" s="37">
        <f>IFERROR(__xludf.DUMMYFUNCTION("""COMPUTED_VALUE"""),9.0)</f>
        <v>9</v>
      </c>
      <c r="Y14" s="68"/>
      <c r="Z14" s="37"/>
      <c r="AA14" s="37"/>
      <c r="AB14" s="65"/>
    </row>
    <row r="15">
      <c r="C15" s="16" t="str">
        <f>"Free Points:"&amp;(SUM(C13)-SUM(E18:J18))</f>
        <v>Free Points:0</v>
      </c>
      <c r="E15" s="79" t="s">
        <v>140</v>
      </c>
      <c r="F15" s="16"/>
      <c r="S15" s="66" t="s">
        <v>141</v>
      </c>
      <c r="T15" s="65"/>
      <c r="U15" s="37"/>
      <c r="V15" s="37"/>
      <c r="W15" s="37" t="str">
        <f>IFERROR(__xludf.DUMMYFUNCTION("""COMPUTED_VALUE"""),"Stasis")</f>
        <v>Stasis</v>
      </c>
      <c r="X15" s="37">
        <f>IFERROR(__xludf.DUMMYFUNCTION("""COMPUTED_VALUE"""),9.0)</f>
        <v>9</v>
      </c>
      <c r="Y15" s="68"/>
      <c r="Z15" s="37"/>
      <c r="AA15" s="37"/>
      <c r="AB15" s="65"/>
    </row>
    <row r="16">
      <c r="S16" s="66" t="s">
        <v>142</v>
      </c>
      <c r="T16" s="65"/>
      <c r="U16" s="37"/>
      <c r="V16" s="37"/>
      <c r="W16" s="37" t="str">
        <f>IFERROR(__xludf.DUMMYFUNCTION("""COMPUTED_VALUE"""),"Twilight")</f>
        <v>Twilight</v>
      </c>
      <c r="X16" s="37">
        <f>IFERROR(__xludf.DUMMYFUNCTION("""COMPUTED_VALUE"""),9.0)</f>
        <v>9</v>
      </c>
      <c r="Y16" s="68"/>
      <c r="Z16" s="37"/>
      <c r="AA16" s="37"/>
      <c r="AB16" s="65"/>
    </row>
    <row r="17">
      <c r="B17" s="38" t="s">
        <v>7</v>
      </c>
      <c r="C17" s="38" t="s">
        <v>8</v>
      </c>
      <c r="D17" s="38" t="s">
        <v>9</v>
      </c>
      <c r="E17" s="80" t="s">
        <v>10</v>
      </c>
      <c r="F17" s="80" t="s">
        <v>13</v>
      </c>
      <c r="G17" s="80" t="s">
        <v>14</v>
      </c>
      <c r="H17" s="80" t="s">
        <v>15</v>
      </c>
      <c r="I17" s="80" t="s">
        <v>16</v>
      </c>
      <c r="J17" s="80" t="s">
        <v>143</v>
      </c>
      <c r="K17" s="38"/>
      <c r="S17" s="66" t="s">
        <v>144</v>
      </c>
      <c r="T17" s="65"/>
      <c r="U17" s="37"/>
      <c r="V17" s="37"/>
      <c r="W17" s="37" t="str">
        <f>IFERROR(__xludf.DUMMYFUNCTION("""COMPUTED_VALUE"""),"Voodoo")</f>
        <v>Voodoo</v>
      </c>
      <c r="X17" s="37">
        <f>IFERROR(__xludf.DUMMYFUNCTION("""COMPUTED_VALUE"""),9.0)</f>
        <v>9</v>
      </c>
      <c r="Y17" s="68"/>
      <c r="Z17" s="37"/>
      <c r="AA17" s="37"/>
      <c r="AB17" s="65"/>
    </row>
    <row r="18">
      <c r="B18" s="78">
        <f>(B2+C2+D2)+((B13-1)*IF(E2,2,1))+SUM(C28:C48)</f>
        <v>219</v>
      </c>
      <c r="C18" s="78">
        <f>(B3+C3+D3)+((B13-1)*IF(E2,2,1))+SUM(B28:B48)</f>
        <v>219</v>
      </c>
      <c r="D18" s="78">
        <f>(B4+C4+D4)+((B13-1)*IF(E2,2,1))+SUM(D28:D48)</f>
        <v>219</v>
      </c>
      <c r="E18" s="77">
        <v>5.0</v>
      </c>
      <c r="F18" s="77">
        <v>5.0</v>
      </c>
      <c r="G18" s="77">
        <v>75.0</v>
      </c>
      <c r="H18" s="77">
        <v>5.0</v>
      </c>
      <c r="I18" s="77">
        <v>5.0</v>
      </c>
      <c r="J18" s="77">
        <v>5.0</v>
      </c>
      <c r="K18" s="78"/>
      <c r="S18" s="66" t="s">
        <v>145</v>
      </c>
      <c r="T18" s="65"/>
      <c r="U18" s="37"/>
      <c r="V18" s="37"/>
      <c r="W18" s="37" t="str">
        <f>IFERROR(__xludf.DUMMYFUNCTION("""COMPUTED_VALUE"""),"Blood")</f>
        <v>Blood</v>
      </c>
      <c r="X18" s="37">
        <f>IFERROR(__xludf.DUMMYFUNCTION("""COMPUTED_VALUE"""),9.0)</f>
        <v>9</v>
      </c>
      <c r="Y18" s="68"/>
      <c r="Z18" s="37"/>
      <c r="AA18" s="37"/>
      <c r="AB18" s="65"/>
    </row>
    <row r="19">
      <c r="D19" s="76" t="s">
        <v>146</v>
      </c>
      <c r="E19" s="77"/>
      <c r="F19" s="77"/>
      <c r="G19" s="77"/>
      <c r="H19" s="77"/>
      <c r="I19" s="77"/>
      <c r="J19" s="77"/>
      <c r="S19" s="66" t="s">
        <v>147</v>
      </c>
      <c r="T19" s="65"/>
      <c r="U19" s="37"/>
      <c r="V19" s="37"/>
      <c r="W19" s="37" t="str">
        <f>IFERROR(__xludf.DUMMYFUNCTION("""COMPUTED_VALUE"""),"Delta")</f>
        <v>Delta</v>
      </c>
      <c r="X19" s="37">
        <f>IFERROR(__xludf.DUMMYFUNCTION("""COMPUTED_VALUE"""),9.0)</f>
        <v>9</v>
      </c>
      <c r="Y19" s="68"/>
      <c r="Z19" s="37"/>
      <c r="AA19" s="37"/>
      <c r="AB19" s="65"/>
    </row>
    <row r="20">
      <c r="D20" s="76" t="s">
        <v>148</v>
      </c>
      <c r="E20" s="81">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1">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7</v>
      </c>
      <c r="G20" s="81">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81</v>
      </c>
      <c r="H20" s="81">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1">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1">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S20" s="66" t="s">
        <v>149</v>
      </c>
      <c r="T20" s="37"/>
      <c r="U20" s="37"/>
      <c r="V20" s="37"/>
      <c r="W20" s="37" t="str">
        <f>IFERROR(__xludf.DUMMYFUNCTION("""COMPUTED_VALUE"""),"Zen")</f>
        <v>Zen</v>
      </c>
      <c r="X20" s="37">
        <f>IFERROR(__xludf.DUMMYFUNCTION("""COMPUTED_VALUE"""),9.0)</f>
        <v>9</v>
      </c>
      <c r="Y20" s="68"/>
      <c r="Z20" s="37"/>
      <c r="AA20" s="37"/>
      <c r="AB20" s="65"/>
    </row>
    <row r="21">
      <c r="S21" s="66" t="s">
        <v>150</v>
      </c>
      <c r="T21" s="37"/>
      <c r="U21" s="37"/>
      <c r="V21" s="37"/>
      <c r="W21" s="37" t="str">
        <f>IFERROR(__xludf.DUMMYFUNCTION("""COMPUTED_VALUE"""),"Astral")</f>
        <v>Astral</v>
      </c>
      <c r="X21" s="37">
        <f>IFERROR(__xludf.DUMMYFUNCTION("""COMPUTED_VALUE"""),9.0)</f>
        <v>9</v>
      </c>
      <c r="Y21" s="68"/>
      <c r="Z21" s="37"/>
      <c r="AA21" s="37"/>
      <c r="AB21" s="65"/>
    </row>
    <row r="22">
      <c r="B22" s="38" t="s">
        <v>103</v>
      </c>
      <c r="C22" s="38" t="s">
        <v>108</v>
      </c>
      <c r="D22" s="38" t="s">
        <v>114</v>
      </c>
      <c r="E22" s="38" t="s">
        <v>119</v>
      </c>
      <c r="F22" s="38" t="s">
        <v>122</v>
      </c>
      <c r="H22" s="82" t="s">
        <v>151</v>
      </c>
      <c r="I22" s="83" t="s">
        <v>152</v>
      </c>
      <c r="J22" s="84"/>
      <c r="K22" s="84"/>
      <c r="L22" s="85"/>
      <c r="S22" s="66" t="s">
        <v>153</v>
      </c>
      <c r="T22" s="65"/>
      <c r="U22" s="37"/>
      <c r="V22" s="37"/>
      <c r="W22" s="37" t="str">
        <f>IFERROR(__xludf.DUMMYFUNCTION("""COMPUTED_VALUE"""),"Celestial")</f>
        <v>Celestial</v>
      </c>
      <c r="X22" s="37">
        <f>IFERROR(__xludf.DUMMYFUNCTION("""COMPUTED_VALUE"""),9.0)</f>
        <v>9</v>
      </c>
      <c r="Y22" s="68"/>
      <c r="Z22" s="37"/>
      <c r="AA22" s="37"/>
      <c r="AB22" s="65"/>
    </row>
    <row r="23">
      <c r="B23" s="78">
        <f>(B5+C5+D5)+((B13-1)*IF(E2,2,1))+(G20*5)+SUM(E28:E48)</f>
        <v>624</v>
      </c>
      <c r="C23" s="78">
        <f>(B6+C6+D6)+((B13-1)*IF(E2,2,1))+(G20*5)+SUM(F28:F48)</f>
        <v>624</v>
      </c>
      <c r="D23" s="78">
        <f>(B7+C7+D7)+((B13-1)*IF(E2,2,1))+SUM(G28:G48)</f>
        <v>219</v>
      </c>
      <c r="E23" s="78">
        <f>(B8+C8+D8)+((B13-1)*IF(E2,2,1))+SUM(H28:H48)</f>
        <v>219</v>
      </c>
      <c r="F23" s="78">
        <f>(B9+C9+D9)+((B13-1)*IF(E2,2,1))+SUM(I28:I48)</f>
        <v>219</v>
      </c>
      <c r="H23" s="72" t="s">
        <v>154</v>
      </c>
      <c r="I23" s="42" t="str">
        <f>IFERROR(VLOOKUP($I$22,Factions!$A$2:$Z993,MATCH("Faction Ability 1",Factions!$A$1:$Z$1,0),FALSE)&amp;" - "&amp;VLOOKUP($I$22,Factions!$A$2:$Z993,MATCH("Ability Description 1",Factions!$A$1:$Z$1,0),FALSE),"")</f>
        <v>Burning Might - Burn damage dealt to enemies is doubled.</v>
      </c>
      <c r="L23" s="35"/>
      <c r="S23" s="66" t="s">
        <v>155</v>
      </c>
      <c r="T23" s="65"/>
      <c r="U23" s="37"/>
      <c r="V23" s="37"/>
      <c r="W23" s="37"/>
      <c r="X23" s="37"/>
      <c r="Y23" s="68"/>
      <c r="Z23" s="65"/>
      <c r="AA23" s="37"/>
      <c r="AB23" s="65"/>
    </row>
    <row r="24">
      <c r="A24" s="76"/>
      <c r="H24" s="86"/>
      <c r="I24" s="42" t="str">
        <f>IFERROR(VLOOKUP($I$22,Factions!$A$2:$Z993,MATCH("Faction Ability 2",Factions!$A$1:$Z$1,0),FALSE)&amp;" - "&amp;VLOOKUP($I$22,Factions!$A$2:$Z993,MATCH("Ability Description 2",Factions!$A$1:$Z$1,0),FALSE),"")</f>
        <v>Forged in Fire. - Forged weapons deal an additional X2 damage.</v>
      </c>
      <c r="L24" s="35"/>
      <c r="S24" s="66" t="s">
        <v>156</v>
      </c>
      <c r="T24" s="37"/>
      <c r="U24" s="37"/>
      <c r="V24" s="37"/>
      <c r="W24" s="37"/>
      <c r="X24" s="37"/>
      <c r="Y24" s="68"/>
      <c r="Z24" s="37"/>
      <c r="AA24" s="37"/>
      <c r="AB24" s="65"/>
    </row>
    <row r="25">
      <c r="A25" s="76"/>
      <c r="H25" s="87"/>
      <c r="I25" s="88" t="str">
        <f>IFERROR(VLOOKUP($I$22,Factions!$A$2:$Z993,MATCH("Faction Ability 3",Factions!$A$1:$Z$1,0),FALSE)&amp;" - "&amp;VLOOKUP($I$22,Factions!$A$2:$Z993,MATCH("Ability Description 3",Factions!$A$1:$Z$1,0),FALSE),"")</f>
        <v>Unbreaking Steel - The first time you attempt a forge roll that fails it does not fail once per forge.</v>
      </c>
      <c r="J25" s="89"/>
      <c r="K25" s="89"/>
      <c r="L25" s="8"/>
    </row>
    <row r="26">
      <c r="A26" s="76"/>
      <c r="S26" s="16" t="b">
        <f>IF(ISBLANK($F$10),FALSE,IF(VLOOKUP($I$22,Factions!$A$2:$Z993,MATCH($F$10,Factions!$A$1:$Z$1,0),FALSE),FALSE,TRUE))</f>
        <v>0</v>
      </c>
    </row>
    <row r="27">
      <c r="B27" s="63" t="s">
        <v>157</v>
      </c>
      <c r="C27" s="63" t="s">
        <v>158</v>
      </c>
      <c r="D27" s="63" t="s">
        <v>159</v>
      </c>
      <c r="E27" s="63" t="s">
        <v>160</v>
      </c>
      <c r="F27" s="63" t="s">
        <v>161</v>
      </c>
      <c r="G27" s="63" t="s">
        <v>162</v>
      </c>
      <c r="H27" s="63" t="s">
        <v>163</v>
      </c>
      <c r="I27" s="63" t="s">
        <v>164</v>
      </c>
    </row>
    <row r="28">
      <c r="A28" s="77" t="s">
        <v>29</v>
      </c>
      <c r="B28" s="47"/>
      <c r="C28" s="47"/>
      <c r="D28" s="47"/>
      <c r="E28" s="47"/>
      <c r="F28" s="47"/>
      <c r="G28" s="47"/>
      <c r="H28" s="47"/>
      <c r="I28" s="47"/>
    </row>
    <row r="29">
      <c r="A29" s="77" t="s">
        <v>165</v>
      </c>
      <c r="B29" s="47"/>
      <c r="C29" s="47"/>
      <c r="D29" s="47"/>
      <c r="E29" s="47"/>
      <c r="F29" s="47"/>
      <c r="G29" s="47"/>
      <c r="H29" s="47"/>
      <c r="I29" s="47"/>
    </row>
    <row r="30">
      <c r="A30" s="77" t="s">
        <v>166</v>
      </c>
      <c r="B30" s="47"/>
      <c r="C30" s="47"/>
      <c r="D30" s="47"/>
      <c r="E30" s="47"/>
      <c r="F30" s="47"/>
      <c r="G30" s="47"/>
      <c r="H30" s="47"/>
      <c r="I30" s="47"/>
    </row>
    <row r="31">
      <c r="A31" s="77" t="s">
        <v>167</v>
      </c>
      <c r="B31" s="47"/>
      <c r="C31" s="47"/>
      <c r="D31" s="47"/>
      <c r="E31" s="47"/>
      <c r="F31" s="47"/>
      <c r="G31" s="47"/>
      <c r="H31" s="47"/>
      <c r="I31" s="47"/>
    </row>
    <row r="32">
      <c r="A32" s="77" t="s">
        <v>35</v>
      </c>
      <c r="B32" s="47"/>
      <c r="C32" s="47"/>
      <c r="D32" s="47"/>
      <c r="E32" s="47"/>
      <c r="F32" s="47"/>
      <c r="G32" s="47"/>
      <c r="H32" s="47"/>
      <c r="I32" s="47"/>
    </row>
    <row r="33">
      <c r="A33" s="77" t="s">
        <v>37</v>
      </c>
      <c r="B33" s="47"/>
      <c r="C33" s="47"/>
      <c r="D33" s="47"/>
      <c r="E33" s="47"/>
      <c r="F33" s="47"/>
      <c r="G33" s="47"/>
      <c r="H33" s="47"/>
      <c r="I33" s="47"/>
    </row>
    <row r="34">
      <c r="A34" s="77" t="s">
        <v>39</v>
      </c>
      <c r="B34" s="47"/>
      <c r="C34" s="47"/>
      <c r="D34" s="47"/>
      <c r="E34" s="47"/>
      <c r="F34" s="47"/>
      <c r="G34" s="47"/>
      <c r="H34" s="47"/>
      <c r="I34" s="47"/>
    </row>
    <row r="35">
      <c r="A35" s="77" t="s">
        <v>168</v>
      </c>
      <c r="B35" s="47"/>
      <c r="C35" s="47"/>
      <c r="D35" s="47"/>
      <c r="E35" s="47"/>
      <c r="F35" s="47"/>
      <c r="G35" s="47"/>
      <c r="H35" s="47"/>
      <c r="I35" s="47"/>
    </row>
    <row r="36">
      <c r="A36" s="77" t="s">
        <v>169</v>
      </c>
      <c r="B36" s="47"/>
      <c r="C36" s="47"/>
      <c r="D36" s="47"/>
      <c r="E36" s="47"/>
      <c r="F36" s="47"/>
      <c r="G36" s="47"/>
      <c r="H36" s="47"/>
      <c r="I36" s="47"/>
    </row>
    <row r="37">
      <c r="A37" s="77" t="s">
        <v>170</v>
      </c>
      <c r="B37" s="47"/>
      <c r="C37" s="47"/>
      <c r="D37" s="47"/>
      <c r="E37" s="47"/>
      <c r="F37" s="47"/>
      <c r="G37" s="47"/>
      <c r="H37" s="47"/>
      <c r="I37" s="47"/>
    </row>
    <row r="38">
      <c r="A38" s="77" t="s">
        <v>171</v>
      </c>
      <c r="B38" s="47"/>
      <c r="C38" s="47"/>
      <c r="D38" s="47"/>
      <c r="E38" s="47"/>
      <c r="F38" s="47"/>
      <c r="G38" s="47"/>
      <c r="H38" s="47"/>
      <c r="I38" s="47"/>
    </row>
    <row r="39">
      <c r="A39" s="77" t="s">
        <v>172</v>
      </c>
      <c r="B39" s="47"/>
      <c r="C39" s="47"/>
      <c r="D39" s="47"/>
      <c r="E39" s="47"/>
      <c r="F39" s="47"/>
      <c r="G39" s="47"/>
      <c r="H39" s="47"/>
      <c r="I39" s="47"/>
    </row>
    <row r="40">
      <c r="A40" s="77" t="s">
        <v>173</v>
      </c>
      <c r="B40" s="47"/>
      <c r="C40" s="47"/>
      <c r="D40" s="47"/>
      <c r="E40" s="47"/>
      <c r="F40" s="47"/>
      <c r="G40" s="47"/>
      <c r="H40" s="47"/>
      <c r="I40" s="47"/>
    </row>
    <row r="41">
      <c r="A41" s="77" t="s">
        <v>174</v>
      </c>
      <c r="B41" s="47"/>
      <c r="C41" s="47"/>
      <c r="D41" s="47"/>
      <c r="E41" s="47"/>
      <c r="F41" s="47"/>
      <c r="G41" s="47"/>
      <c r="H41" s="47"/>
      <c r="I41" s="47"/>
    </row>
    <row r="42">
      <c r="A42" s="77" t="s">
        <v>175</v>
      </c>
      <c r="B42" s="47"/>
      <c r="C42" s="47"/>
      <c r="D42" s="47"/>
      <c r="E42" s="47"/>
      <c r="F42" s="47"/>
      <c r="G42" s="47"/>
      <c r="H42" s="47"/>
      <c r="I42" s="47"/>
    </row>
    <row r="43">
      <c r="A43" s="77" t="s">
        <v>176</v>
      </c>
      <c r="B43" s="47"/>
      <c r="C43" s="47"/>
      <c r="D43" s="47"/>
      <c r="E43" s="47"/>
      <c r="F43" s="47"/>
      <c r="G43" s="47"/>
      <c r="H43" s="47"/>
      <c r="I43" s="47"/>
    </row>
    <row r="44">
      <c r="A44" s="77" t="s">
        <v>177</v>
      </c>
      <c r="B44" s="47"/>
      <c r="C44" s="47"/>
      <c r="D44" s="47"/>
      <c r="E44" s="47"/>
      <c r="F44" s="47"/>
      <c r="G44" s="47"/>
      <c r="H44" s="47"/>
      <c r="I44" s="47"/>
    </row>
    <row r="45">
      <c r="A45" s="77" t="s">
        <v>178</v>
      </c>
      <c r="B45" s="47"/>
      <c r="C45" s="47"/>
      <c r="D45" s="47"/>
      <c r="E45" s="47"/>
      <c r="F45" s="47"/>
      <c r="G45" s="47"/>
      <c r="H45" s="47"/>
      <c r="I45" s="47"/>
    </row>
    <row r="46">
      <c r="A46" s="77" t="s">
        <v>179</v>
      </c>
      <c r="B46" s="47"/>
      <c r="C46" s="47"/>
      <c r="D46" s="47"/>
      <c r="E46" s="47"/>
      <c r="F46" s="47"/>
      <c r="G46" s="47"/>
      <c r="H46" s="47"/>
      <c r="I46" s="47"/>
    </row>
    <row r="47">
      <c r="A47" s="77" t="s">
        <v>57</v>
      </c>
      <c r="B47" s="47"/>
      <c r="C47" s="47"/>
      <c r="D47" s="47"/>
      <c r="E47" s="47"/>
      <c r="F47" s="47"/>
      <c r="G47" s="47"/>
      <c r="H47" s="47"/>
      <c r="I47" s="47"/>
    </row>
    <row r="48">
      <c r="A48" s="77" t="s">
        <v>59</v>
      </c>
      <c r="B48" s="47"/>
      <c r="C48" s="47"/>
      <c r="D48" s="47"/>
      <c r="E48" s="47"/>
      <c r="F48" s="47"/>
      <c r="G48" s="47"/>
      <c r="H48" s="47"/>
      <c r="I48" s="47"/>
    </row>
    <row r="51">
      <c r="B51" s="38" t="s">
        <v>180</v>
      </c>
    </row>
    <row r="52">
      <c r="A52" s="38" t="s">
        <v>181</v>
      </c>
      <c r="B52" s="38" t="s">
        <v>182</v>
      </c>
      <c r="C52" s="38" t="s">
        <v>183</v>
      </c>
      <c r="E52" s="38"/>
    </row>
    <row r="53">
      <c r="A53" s="14" t="s">
        <v>184</v>
      </c>
      <c r="B53" s="14" t="b">
        <v>0</v>
      </c>
      <c r="C53" s="16"/>
    </row>
    <row r="54">
      <c r="A54" s="14" t="s">
        <v>185</v>
      </c>
      <c r="B54" s="14" t="b">
        <v>0</v>
      </c>
      <c r="C54" s="16"/>
    </row>
    <row r="55">
      <c r="A55" s="14" t="s">
        <v>186</v>
      </c>
      <c r="B55" s="14" t="b">
        <v>0</v>
      </c>
      <c r="C55" s="16"/>
    </row>
    <row r="56">
      <c r="A56" s="14" t="s">
        <v>187</v>
      </c>
      <c r="B56" s="14" t="b">
        <v>0</v>
      </c>
      <c r="C56" s="16"/>
    </row>
    <row r="57">
      <c r="A57" s="14" t="s">
        <v>188</v>
      </c>
      <c r="B57" s="14" t="b">
        <v>0</v>
      </c>
      <c r="C57" s="16"/>
    </row>
    <row r="58">
      <c r="A58" s="14" t="s">
        <v>189</v>
      </c>
      <c r="B58" s="14" t="b">
        <v>0</v>
      </c>
      <c r="C58" s="16"/>
    </row>
    <row r="59">
      <c r="A59" s="14" t="s">
        <v>190</v>
      </c>
      <c r="B59" s="14" t="b">
        <v>0</v>
      </c>
      <c r="C59" s="16"/>
    </row>
    <row r="60">
      <c r="A60" s="14" t="s">
        <v>191</v>
      </c>
      <c r="B60" s="14" t="b">
        <v>0</v>
      </c>
      <c r="C60" s="16"/>
    </row>
    <row r="61">
      <c r="A61" s="14" t="s">
        <v>192</v>
      </c>
      <c r="B61" s="14" t="b">
        <v>0</v>
      </c>
      <c r="C61" s="16"/>
    </row>
    <row r="62">
      <c r="A62" s="14" t="s">
        <v>193</v>
      </c>
      <c r="B62" s="14" t="b">
        <v>0</v>
      </c>
      <c r="C62" s="16"/>
    </row>
    <row r="63">
      <c r="A63" s="14" t="s">
        <v>194</v>
      </c>
      <c r="B63" s="14" t="b">
        <v>0</v>
      </c>
      <c r="C63" s="16"/>
    </row>
    <row r="64">
      <c r="A64" s="14" t="s">
        <v>195</v>
      </c>
      <c r="B64" s="14" t="b">
        <v>0</v>
      </c>
      <c r="C64" s="16"/>
    </row>
    <row r="65">
      <c r="A65" s="14" t="s">
        <v>196</v>
      </c>
      <c r="B65" s="14" t="b">
        <v>0</v>
      </c>
      <c r="C65" s="16"/>
    </row>
    <row r="66">
      <c r="A66" s="14" t="s">
        <v>197</v>
      </c>
      <c r="B66" s="14" t="b">
        <v>0</v>
      </c>
      <c r="C66" s="16"/>
    </row>
    <row r="67">
      <c r="A67" s="14" t="s">
        <v>198</v>
      </c>
      <c r="B67" s="14" t="b">
        <v>0</v>
      </c>
      <c r="C67" s="16"/>
    </row>
    <row r="68">
      <c r="A68" s="14" t="s">
        <v>199</v>
      </c>
      <c r="B68" s="14" t="b">
        <v>0</v>
      </c>
      <c r="C68" s="16"/>
    </row>
    <row r="69">
      <c r="A69" s="14" t="s">
        <v>200</v>
      </c>
      <c r="B69" s="14" t="b">
        <v>0</v>
      </c>
      <c r="C69" s="16"/>
    </row>
    <row r="70">
      <c r="A70" s="14" t="s">
        <v>201</v>
      </c>
      <c r="B70" s="14" t="b">
        <v>0</v>
      </c>
      <c r="C70" s="16"/>
    </row>
    <row r="71">
      <c r="A71" s="14" t="s">
        <v>202</v>
      </c>
      <c r="B71" s="14" t="b">
        <v>0</v>
      </c>
      <c r="C71" s="16"/>
    </row>
    <row r="72">
      <c r="A72" s="14" t="s">
        <v>203</v>
      </c>
      <c r="B72" s="14" t="b">
        <v>0</v>
      </c>
      <c r="C72" s="16"/>
    </row>
    <row r="73">
      <c r="A73" s="14" t="s">
        <v>204</v>
      </c>
      <c r="B73" s="14" t="b">
        <v>0</v>
      </c>
      <c r="C73" s="16"/>
    </row>
    <row r="74">
      <c r="A74" s="14" t="s">
        <v>205</v>
      </c>
      <c r="B74" s="14" t="b">
        <v>0</v>
      </c>
      <c r="C74" s="16"/>
    </row>
    <row r="75">
      <c r="A75" s="14" t="s">
        <v>206</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207</v>
      </c>
      <c r="B1" s="14" t="s">
        <v>208</v>
      </c>
      <c r="C1" s="14" t="s">
        <v>209</v>
      </c>
      <c r="D1" s="14" t="s">
        <v>210</v>
      </c>
      <c r="E1" s="14" t="s">
        <v>180</v>
      </c>
      <c r="F1" s="14" t="s">
        <v>211</v>
      </c>
      <c r="G1" s="14" t="s">
        <v>212</v>
      </c>
    </row>
    <row r="2">
      <c r="A2" s="68" t="s">
        <v>94</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8" t="s">
        <v>97</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8" t="s">
        <v>102</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8" t="s">
        <v>107</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8" t="s">
        <v>113</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8" t="s">
        <v>118</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8" t="s">
        <v>121</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8" t="s">
        <v>125</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8" t="s">
        <v>127</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8" t="s">
        <v>128</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8" t="s">
        <v>133</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8" t="s">
        <v>135</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8" t="s">
        <v>139</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8" t="s">
        <v>141</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8" t="s">
        <v>142</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8" t="s">
        <v>144</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8" t="s">
        <v>145</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8" t="s">
        <v>147</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8" t="s">
        <v>149</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8" t="s">
        <v>150</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8" t="s">
        <v>153</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8" t="s">
        <v>155</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8" t="s">
        <v>156</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213</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90" t="s">
        <v>24</v>
      </c>
      <c r="B1" s="90" t="s">
        <v>183</v>
      </c>
      <c r="C1" s="91" t="s">
        <v>214</v>
      </c>
      <c r="D1" s="91" t="s">
        <v>215</v>
      </c>
      <c r="E1" s="91" t="s">
        <v>216</v>
      </c>
      <c r="F1" s="91" t="s">
        <v>26</v>
      </c>
      <c r="G1" s="91" t="s">
        <v>217</v>
      </c>
      <c r="H1" s="91" t="s">
        <v>181</v>
      </c>
      <c r="I1" s="92"/>
      <c r="J1" s="14" t="str">
        <f>COUNTA(J3:J50)&amp;"/"&amp;K1</f>
        <v>5/6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3" t="s">
        <v>218</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4" t="s">
        <v>219</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4" t="s">
        <v>220</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4" t="s">
        <v>221</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4" t="s">
        <v>222</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4" t="s">
        <v>223</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4"/>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4"/>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5"/>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5"/>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5"/>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5"/>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5"/>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4"/>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5"/>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5"/>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5"/>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5"/>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5"/>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5"/>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5"/>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5"/>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5"/>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5"/>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5"/>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5"/>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5"/>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5"/>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5"/>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5"/>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5"/>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5"/>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5"/>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5"/>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5"/>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5"/>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5"/>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5"/>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5"/>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5"/>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5"/>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5"/>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5"/>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5"/>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5"/>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5"/>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5"/>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5"/>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6"/>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6"/>
      <c r="B1" s="97" t="s">
        <v>24</v>
      </c>
      <c r="P1" s="16">
        <f>Leveler!$B$13</f>
        <v>200</v>
      </c>
      <c r="U1" s="14" t="s">
        <v>24</v>
      </c>
      <c r="V1" s="48" t="s">
        <v>25</v>
      </c>
      <c r="W1" s="14" t="s">
        <v>26</v>
      </c>
      <c r="X1" s="48" t="s">
        <v>224</v>
      </c>
      <c r="Y1" s="48" t="s">
        <v>225</v>
      </c>
      <c r="Z1" s="48" t="s">
        <v>27</v>
      </c>
      <c r="AA1" s="48" t="s">
        <v>226</v>
      </c>
    </row>
    <row r="2">
      <c r="A2" s="76" t="s">
        <v>227</v>
      </c>
      <c r="B2" s="14" t="s">
        <v>44</v>
      </c>
      <c r="C2" s="38" t="s">
        <v>25</v>
      </c>
      <c r="D2" s="38" t="s">
        <v>26</v>
      </c>
      <c r="E2" s="38" t="s">
        <v>224</v>
      </c>
      <c r="F2" s="38" t="s">
        <v>225</v>
      </c>
      <c r="G2" s="38" t="s">
        <v>27</v>
      </c>
      <c r="H2" s="38" t="s">
        <v>226</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228</v>
      </c>
    </row>
    <row r="8">
      <c r="A8" s="14" t="str">
        <f>"Storage: "&amp;counta(B10:B1070)&amp;"/"&amp;B8</f>
        <v>Storage: 4/70</v>
      </c>
      <c r="B8" s="14">
        <v>70.0</v>
      </c>
    </row>
    <row r="9">
      <c r="A9" s="38" t="s">
        <v>229</v>
      </c>
      <c r="B9" s="38" t="s">
        <v>24</v>
      </c>
      <c r="C9" s="38" t="s">
        <v>25</v>
      </c>
      <c r="D9" s="38" t="s">
        <v>26</v>
      </c>
      <c r="E9" s="38" t="s">
        <v>224</v>
      </c>
      <c r="F9" s="38" t="s">
        <v>225</v>
      </c>
      <c r="G9" s="38" t="s">
        <v>27</v>
      </c>
      <c r="H9" s="38" t="s">
        <v>226</v>
      </c>
      <c r="I9" s="38" t="s">
        <v>230</v>
      </c>
    </row>
    <row r="10">
      <c r="A10" s="64">
        <v>100.0</v>
      </c>
      <c r="B10" s="14" t="s">
        <v>231</v>
      </c>
      <c r="C10" s="14" t="s">
        <v>232</v>
      </c>
      <c r="D10" s="14" t="s">
        <v>233</v>
      </c>
      <c r="E10" s="37"/>
      <c r="F10" s="37"/>
      <c r="G10" s="37"/>
      <c r="H10" s="99"/>
      <c r="I10" s="37"/>
    </row>
    <row r="11">
      <c r="A11" s="64">
        <v>100.0</v>
      </c>
      <c r="B11" s="66" t="s">
        <v>234</v>
      </c>
      <c r="C11" s="100" t="s">
        <v>235</v>
      </c>
      <c r="D11" s="37"/>
      <c r="E11" s="37"/>
      <c r="F11" s="37"/>
      <c r="G11" s="37"/>
      <c r="H11" s="99"/>
      <c r="I11" s="37"/>
    </row>
    <row r="12">
      <c r="A12" s="64">
        <v>1.0</v>
      </c>
      <c r="B12" s="14" t="s">
        <v>44</v>
      </c>
      <c r="D12" s="14" t="s">
        <v>236</v>
      </c>
      <c r="E12" s="14" t="s">
        <v>42</v>
      </c>
      <c r="F12" s="48">
        <v>40.0</v>
      </c>
      <c r="G12" s="14" t="s">
        <v>237</v>
      </c>
      <c r="H12" s="101">
        <v>60000.0</v>
      </c>
      <c r="I12" s="37"/>
    </row>
    <row r="13">
      <c r="A13" s="102">
        <v>1.0</v>
      </c>
      <c r="B13" s="66" t="s">
        <v>41</v>
      </c>
      <c r="C13" s="37"/>
      <c r="D13" s="66" t="s">
        <v>236</v>
      </c>
      <c r="E13" s="66" t="s">
        <v>42</v>
      </c>
      <c r="F13" s="102">
        <v>200.0</v>
      </c>
      <c r="G13" s="66" t="s">
        <v>238</v>
      </c>
      <c r="H13" s="102">
        <v>1900000.0</v>
      </c>
      <c r="I13" s="37"/>
    </row>
    <row r="14">
      <c r="A14" s="65"/>
      <c r="B14" s="103"/>
      <c r="C14" s="37"/>
      <c r="D14" s="37"/>
      <c r="E14" s="37"/>
      <c r="F14" s="65"/>
      <c r="G14" s="37"/>
      <c r="H14" s="99"/>
      <c r="I14" s="65"/>
    </row>
    <row r="15">
      <c r="A15" s="65"/>
      <c r="B15" s="103"/>
      <c r="C15" s="37"/>
      <c r="D15" s="37"/>
      <c r="E15" s="37"/>
      <c r="F15" s="65"/>
      <c r="G15" s="37"/>
      <c r="H15" s="104"/>
      <c r="I15" s="65"/>
    </row>
    <row r="16">
      <c r="A16" s="65"/>
      <c r="B16" s="103"/>
      <c r="C16" s="37"/>
      <c r="D16" s="37"/>
      <c r="E16" s="37"/>
      <c r="F16" s="65"/>
      <c r="G16" s="37"/>
      <c r="H16" s="104"/>
      <c r="I16" s="37"/>
    </row>
    <row r="17">
      <c r="A17" s="65"/>
      <c r="B17" s="103"/>
      <c r="C17" s="37"/>
      <c r="D17" s="37"/>
      <c r="E17" s="37"/>
      <c r="F17" s="65"/>
      <c r="G17" s="37"/>
      <c r="H17" s="104"/>
      <c r="I17" s="37"/>
    </row>
    <row r="18">
      <c r="A18" s="65"/>
      <c r="B18" s="103"/>
      <c r="C18" s="37"/>
      <c r="D18" s="37"/>
      <c r="E18" s="37"/>
      <c r="F18" s="65"/>
      <c r="G18" s="37"/>
      <c r="H18" s="104"/>
      <c r="I18" s="37"/>
    </row>
    <row r="19">
      <c r="A19" s="65"/>
      <c r="B19" s="103"/>
      <c r="C19" s="37"/>
      <c r="D19" s="37"/>
      <c r="E19" s="37"/>
      <c r="F19" s="65"/>
      <c r="G19" s="37"/>
      <c r="H19" s="104"/>
      <c r="I19" s="37"/>
    </row>
    <row r="20">
      <c r="A20" s="65"/>
      <c r="B20" s="37"/>
      <c r="C20" s="37"/>
      <c r="D20" s="37"/>
      <c r="E20" s="37"/>
      <c r="F20" s="37"/>
      <c r="G20" s="37"/>
      <c r="H20" s="99"/>
      <c r="I20" s="37"/>
    </row>
    <row r="21">
      <c r="A21" s="65"/>
      <c r="B21" s="37"/>
      <c r="C21" s="103"/>
      <c r="D21" s="37"/>
      <c r="E21" s="37"/>
      <c r="F21" s="37"/>
      <c r="G21" s="37"/>
      <c r="H21" s="99"/>
      <c r="I21" s="37"/>
    </row>
    <row r="22">
      <c r="A22" s="65"/>
      <c r="B22" s="103"/>
      <c r="C22" s="37"/>
      <c r="D22" s="37"/>
      <c r="E22" s="37"/>
      <c r="F22" s="65"/>
      <c r="G22" s="103"/>
      <c r="H22" s="99"/>
      <c r="I22" s="37"/>
    </row>
    <row r="23">
      <c r="A23" s="65"/>
      <c r="B23" s="37"/>
      <c r="C23" s="37"/>
      <c r="D23" s="37"/>
      <c r="E23" s="37"/>
      <c r="F23" s="37"/>
      <c r="G23" s="37"/>
      <c r="H23" s="99"/>
      <c r="I23" s="37"/>
    </row>
    <row r="24">
      <c r="A24" s="65"/>
      <c r="B24" s="37"/>
      <c r="C24" s="103"/>
      <c r="D24" s="37"/>
      <c r="E24" s="37"/>
      <c r="F24" s="37"/>
      <c r="G24" s="37"/>
      <c r="H24" s="99"/>
      <c r="I24" s="37"/>
    </row>
    <row r="25">
      <c r="A25" s="65"/>
      <c r="B25" s="37"/>
      <c r="C25" s="103"/>
      <c r="D25" s="37"/>
      <c r="E25" s="37"/>
      <c r="F25" s="37"/>
      <c r="G25" s="37"/>
      <c r="H25" s="99"/>
      <c r="I25" s="37"/>
    </row>
    <row r="26">
      <c r="A26" s="65"/>
      <c r="B26" s="103"/>
      <c r="C26" s="37"/>
      <c r="D26" s="37"/>
      <c r="E26" s="37"/>
      <c r="F26" s="37"/>
      <c r="G26" s="37"/>
      <c r="H26" s="99"/>
      <c r="I26" s="37"/>
    </row>
    <row r="27">
      <c r="A27" s="65"/>
      <c r="B27" s="37"/>
      <c r="C27" s="37"/>
      <c r="D27" s="37"/>
      <c r="E27" s="37"/>
      <c r="F27" s="37"/>
      <c r="G27" s="37"/>
      <c r="H27" s="99"/>
      <c r="I27" s="37"/>
    </row>
    <row r="28">
      <c r="A28" s="65"/>
      <c r="B28" s="37"/>
      <c r="C28" s="103"/>
      <c r="D28" s="37"/>
      <c r="E28" s="37"/>
      <c r="F28" s="37"/>
      <c r="G28" s="37"/>
      <c r="H28" s="99"/>
      <c r="I28" s="37"/>
    </row>
    <row r="29">
      <c r="A29" s="65"/>
      <c r="B29" s="37"/>
      <c r="C29" s="103"/>
      <c r="D29" s="37"/>
      <c r="E29" s="37"/>
      <c r="F29" s="37"/>
      <c r="G29" s="37"/>
      <c r="H29" s="99"/>
      <c r="I29" s="37"/>
    </row>
    <row r="30">
      <c r="A30" s="65"/>
      <c r="B30" s="103"/>
      <c r="C30" s="37"/>
      <c r="D30" s="37"/>
      <c r="E30" s="37"/>
      <c r="F30" s="37"/>
      <c r="G30" s="37"/>
      <c r="H30" s="99"/>
      <c r="I30" s="37"/>
    </row>
    <row r="31">
      <c r="A31" s="65"/>
      <c r="B31" s="37"/>
      <c r="C31" s="37"/>
      <c r="D31" s="37"/>
      <c r="E31" s="37"/>
      <c r="F31" s="37"/>
      <c r="G31" s="37"/>
      <c r="H31" s="99"/>
      <c r="I31" s="37"/>
    </row>
    <row r="32">
      <c r="A32" s="65"/>
      <c r="B32" s="37"/>
      <c r="C32" s="103"/>
      <c r="D32" s="37"/>
      <c r="E32" s="37"/>
      <c r="F32" s="37"/>
      <c r="G32" s="37"/>
      <c r="H32" s="99"/>
      <c r="I32" s="37"/>
    </row>
    <row r="33">
      <c r="A33" s="65"/>
      <c r="B33" s="37"/>
      <c r="C33" s="103"/>
      <c r="D33" s="37"/>
      <c r="E33" s="37"/>
      <c r="F33" s="37"/>
      <c r="G33" s="37"/>
      <c r="H33" s="99"/>
      <c r="I33" s="37"/>
    </row>
    <row r="34">
      <c r="A34" s="65"/>
      <c r="B34" s="37"/>
      <c r="C34" s="103"/>
      <c r="D34" s="37"/>
      <c r="E34" s="37"/>
      <c r="F34" s="37"/>
      <c r="G34" s="37"/>
      <c r="H34" s="99"/>
      <c r="I34" s="37"/>
    </row>
    <row r="35">
      <c r="A35" s="65"/>
      <c r="B35" s="37"/>
      <c r="C35" s="103"/>
      <c r="D35" s="37"/>
      <c r="E35" s="37"/>
      <c r="F35" s="37"/>
      <c r="G35" s="37"/>
      <c r="H35" s="99"/>
      <c r="I35" s="37"/>
    </row>
    <row r="36">
      <c r="A36" s="65"/>
      <c r="B36" s="37"/>
      <c r="C36" s="37"/>
      <c r="D36" s="37"/>
      <c r="E36" s="37"/>
      <c r="F36" s="37"/>
      <c r="G36" s="37"/>
      <c r="H36" s="99"/>
      <c r="I36" s="37"/>
    </row>
    <row r="37">
      <c r="A37" s="65"/>
      <c r="B37" s="103"/>
      <c r="C37" s="37"/>
      <c r="D37" s="37"/>
      <c r="E37" s="37"/>
      <c r="F37" s="37"/>
      <c r="G37" s="37"/>
      <c r="H37" s="99"/>
      <c r="I37" s="37"/>
    </row>
    <row r="38">
      <c r="A38" s="65"/>
      <c r="B38" s="37"/>
      <c r="C38" s="37"/>
      <c r="D38" s="37"/>
      <c r="E38" s="37"/>
      <c r="F38" s="37"/>
      <c r="G38" s="37"/>
      <c r="H38" s="99"/>
      <c r="I38" s="37"/>
    </row>
    <row r="39">
      <c r="A39" s="65"/>
      <c r="B39" s="37"/>
      <c r="C39" s="37"/>
      <c r="D39" s="37"/>
      <c r="E39" s="37"/>
      <c r="F39" s="37"/>
      <c r="G39" s="37"/>
      <c r="H39" s="99"/>
      <c r="I39" s="37"/>
    </row>
    <row r="40">
      <c r="A40" s="65"/>
      <c r="B40" s="37"/>
      <c r="C40" s="37"/>
      <c r="D40" s="37"/>
      <c r="E40" s="37"/>
      <c r="F40" s="37"/>
      <c r="G40" s="37"/>
      <c r="H40" s="99"/>
      <c r="I40" s="37"/>
    </row>
    <row r="41">
      <c r="A41" s="65"/>
      <c r="B41" s="103"/>
      <c r="C41" s="37"/>
      <c r="D41" s="37"/>
      <c r="E41" s="37"/>
      <c r="F41" s="65"/>
      <c r="G41" s="37"/>
      <c r="H41" s="104"/>
      <c r="I41" s="37"/>
    </row>
    <row r="42">
      <c r="A42" s="65"/>
      <c r="B42" s="37"/>
      <c r="C42" s="37"/>
      <c r="D42" s="37"/>
      <c r="E42" s="37"/>
      <c r="F42" s="65"/>
      <c r="G42" s="37"/>
      <c r="H42" s="104"/>
      <c r="I42" s="37"/>
    </row>
    <row r="43">
      <c r="A43" s="65"/>
      <c r="B43" s="103"/>
      <c r="C43" s="37"/>
      <c r="D43" s="37"/>
      <c r="E43" s="37"/>
      <c r="F43" s="37"/>
      <c r="G43" s="37"/>
      <c r="H43" s="99"/>
      <c r="I43" s="37"/>
    </row>
    <row r="44">
      <c r="A44" s="65"/>
      <c r="B44" s="103"/>
      <c r="C44" s="37"/>
      <c r="D44" s="37"/>
      <c r="E44" s="37"/>
      <c r="F44" s="37"/>
      <c r="G44" s="37"/>
      <c r="H44" s="99"/>
      <c r="I44" s="37"/>
    </row>
    <row r="45">
      <c r="A45" s="65"/>
      <c r="B45" s="103"/>
      <c r="C45" s="37"/>
      <c r="D45" s="37"/>
      <c r="E45" s="37"/>
      <c r="F45" s="37"/>
      <c r="G45" s="37"/>
      <c r="H45" s="99"/>
      <c r="I45" s="37"/>
    </row>
    <row r="46">
      <c r="A46" s="65"/>
      <c r="B46" s="103"/>
      <c r="C46" s="37"/>
      <c r="D46" s="37"/>
      <c r="E46" s="37"/>
      <c r="F46" s="37"/>
      <c r="G46" s="37"/>
      <c r="H46" s="99"/>
      <c r="I46" s="37"/>
    </row>
    <row r="47">
      <c r="A47" s="65"/>
      <c r="B47" s="37"/>
      <c r="C47" s="37"/>
      <c r="D47" s="37"/>
      <c r="E47" s="37"/>
      <c r="F47" s="37"/>
      <c r="G47" s="37"/>
      <c r="H47" s="99"/>
      <c r="I47" s="37"/>
    </row>
    <row r="48">
      <c r="A48" s="65"/>
      <c r="B48" s="37"/>
      <c r="C48" s="37"/>
      <c r="D48" s="37"/>
      <c r="E48" s="37"/>
      <c r="F48" s="37"/>
      <c r="G48" s="37"/>
      <c r="H48" s="99"/>
      <c r="I48" s="37"/>
    </row>
    <row r="49">
      <c r="A49" s="65"/>
      <c r="B49" s="37"/>
      <c r="C49" s="37"/>
      <c r="D49" s="37"/>
      <c r="E49" s="37"/>
      <c r="F49" s="37"/>
      <c r="G49" s="37"/>
      <c r="H49" s="99"/>
      <c r="I49" s="37"/>
    </row>
    <row r="50">
      <c r="A50" s="65"/>
      <c r="B50" s="37"/>
      <c r="C50" s="37"/>
      <c r="D50" s="37"/>
      <c r="E50" s="37"/>
      <c r="F50" s="37"/>
      <c r="G50" s="37"/>
      <c r="H50" s="99"/>
      <c r="I50" s="37"/>
    </row>
    <row r="51">
      <c r="A51" s="65"/>
      <c r="B51" s="37"/>
      <c r="C51" s="37"/>
      <c r="D51" s="37"/>
      <c r="E51" s="37"/>
      <c r="F51" s="37"/>
      <c r="G51" s="37"/>
      <c r="H51" s="99"/>
      <c r="I51" s="37"/>
    </row>
    <row r="52">
      <c r="A52" s="65"/>
      <c r="B52" s="37"/>
      <c r="C52" s="103"/>
      <c r="D52" s="37"/>
      <c r="E52" s="37"/>
      <c r="F52" s="37"/>
      <c r="G52" s="37"/>
      <c r="H52" s="99"/>
      <c r="I52" s="37"/>
    </row>
    <row r="53">
      <c r="A53" s="65"/>
      <c r="B53" s="37"/>
      <c r="C53" s="37"/>
      <c r="D53" s="37"/>
      <c r="E53" s="37"/>
      <c r="F53" s="37"/>
      <c r="G53" s="37"/>
      <c r="H53" s="99"/>
      <c r="I53" s="37"/>
    </row>
    <row r="54">
      <c r="A54" s="65"/>
      <c r="B54" s="37"/>
      <c r="C54" s="103"/>
      <c r="D54" s="37"/>
      <c r="E54" s="37"/>
      <c r="F54" s="37"/>
      <c r="G54" s="37"/>
      <c r="H54" s="99"/>
      <c r="I54" s="37"/>
    </row>
    <row r="55">
      <c r="A55" s="65"/>
      <c r="B55" s="37"/>
      <c r="C55" s="103"/>
      <c r="D55" s="37"/>
      <c r="E55" s="37"/>
      <c r="F55" s="37"/>
      <c r="G55" s="37"/>
      <c r="H55" s="99"/>
      <c r="I55" s="37"/>
    </row>
    <row r="56">
      <c r="A56" s="65"/>
      <c r="B56" s="37"/>
      <c r="C56" s="103"/>
      <c r="D56" s="37"/>
      <c r="E56" s="37"/>
      <c r="F56" s="37"/>
      <c r="G56" s="37"/>
      <c r="H56" s="99"/>
      <c r="I56" s="37"/>
    </row>
    <row r="57">
      <c r="A57" s="65"/>
      <c r="B57" s="37"/>
      <c r="C57" s="103"/>
      <c r="D57" s="37"/>
      <c r="E57" s="37"/>
      <c r="F57" s="37"/>
      <c r="G57" s="37"/>
      <c r="H57" s="99"/>
      <c r="I57" s="37"/>
    </row>
    <row r="58">
      <c r="A58" s="65"/>
      <c r="B58" s="37"/>
      <c r="C58" s="103"/>
      <c r="D58" s="37"/>
      <c r="E58" s="37"/>
      <c r="F58" s="37"/>
      <c r="G58" s="37"/>
      <c r="H58" s="99"/>
      <c r="I58" s="37"/>
    </row>
    <row r="59">
      <c r="A59" s="65"/>
      <c r="B59" s="37"/>
      <c r="C59" s="103"/>
      <c r="D59" s="37"/>
      <c r="E59" s="37"/>
      <c r="F59" s="37"/>
      <c r="G59" s="37"/>
      <c r="H59" s="99"/>
      <c r="I59" s="37"/>
    </row>
    <row r="60">
      <c r="A60" s="65"/>
      <c r="B60" s="37"/>
      <c r="C60" s="103"/>
      <c r="D60" s="37"/>
      <c r="E60" s="37"/>
      <c r="F60" s="37"/>
      <c r="G60" s="37"/>
      <c r="H60" s="99"/>
      <c r="I60" s="37"/>
    </row>
    <row r="61">
      <c r="A61" s="65"/>
      <c r="B61" s="37"/>
      <c r="C61" s="103"/>
      <c r="D61" s="37"/>
      <c r="E61" s="37"/>
      <c r="F61" s="37"/>
      <c r="G61" s="37"/>
      <c r="H61" s="99"/>
      <c r="I61" s="37"/>
    </row>
    <row r="62">
      <c r="A62" s="65"/>
      <c r="B62" s="37"/>
      <c r="C62" s="103"/>
      <c r="D62" s="37"/>
      <c r="E62" s="37"/>
      <c r="F62" s="37"/>
      <c r="G62" s="37"/>
      <c r="H62" s="99"/>
      <c r="I62" s="37"/>
    </row>
    <row r="63">
      <c r="A63" s="65"/>
      <c r="B63" s="37"/>
      <c r="C63" s="103"/>
      <c r="D63" s="37"/>
      <c r="E63" s="37"/>
      <c r="F63" s="37"/>
      <c r="G63" s="37"/>
      <c r="H63" s="99"/>
      <c r="I63" s="37"/>
    </row>
    <row r="64">
      <c r="A64" s="65"/>
      <c r="B64" s="37"/>
      <c r="C64" s="103"/>
      <c r="D64" s="37"/>
      <c r="E64" s="37"/>
      <c r="F64" s="37"/>
      <c r="G64" s="37"/>
      <c r="H64" s="99"/>
      <c r="I64" s="37"/>
    </row>
    <row r="65">
      <c r="A65" s="65"/>
      <c r="B65" s="37"/>
      <c r="C65" s="103"/>
      <c r="D65" s="37"/>
      <c r="E65" s="37"/>
      <c r="F65" s="37"/>
      <c r="G65" s="37"/>
      <c r="H65" s="99"/>
      <c r="I65" s="37"/>
    </row>
    <row r="66">
      <c r="A66" s="65"/>
      <c r="B66" s="37"/>
      <c r="C66" s="103"/>
      <c r="D66" s="37"/>
      <c r="E66" s="37"/>
      <c r="F66" s="37"/>
      <c r="G66" s="37"/>
      <c r="H66" s="99"/>
      <c r="I66" s="37"/>
    </row>
    <row r="67">
      <c r="A67" s="65"/>
      <c r="B67" s="37"/>
      <c r="C67" s="103"/>
      <c r="D67" s="37"/>
      <c r="E67" s="37"/>
      <c r="F67" s="37"/>
      <c r="G67" s="37"/>
      <c r="H67" s="99"/>
      <c r="I67" s="37"/>
    </row>
    <row r="68">
      <c r="A68" s="65"/>
      <c r="B68" s="37"/>
      <c r="C68" s="103"/>
      <c r="D68" s="37"/>
      <c r="E68" s="37"/>
      <c r="F68" s="37"/>
      <c r="G68" s="37"/>
      <c r="H68" s="99"/>
      <c r="I68" s="37"/>
    </row>
    <row r="69">
      <c r="A69" s="65"/>
      <c r="B69" s="37"/>
      <c r="C69" s="103"/>
      <c r="D69" s="37"/>
      <c r="E69" s="37"/>
      <c r="F69" s="37"/>
      <c r="G69" s="37"/>
      <c r="H69" s="99"/>
      <c r="I69" s="37"/>
    </row>
    <row r="70">
      <c r="A70" s="65"/>
      <c r="B70" s="37"/>
      <c r="C70" s="103"/>
      <c r="D70" s="37"/>
      <c r="E70" s="37"/>
      <c r="F70" s="37"/>
      <c r="G70" s="37"/>
      <c r="H70" s="99"/>
      <c r="I70" s="37"/>
    </row>
    <row r="71">
      <c r="A71" s="65"/>
      <c r="B71" s="37"/>
      <c r="C71" s="103"/>
      <c r="D71" s="37"/>
      <c r="E71" s="37"/>
      <c r="F71" s="37"/>
      <c r="G71" s="37"/>
      <c r="H71" s="99"/>
      <c r="I71" s="37"/>
    </row>
    <row r="72">
      <c r="A72" s="65"/>
      <c r="B72" s="37"/>
      <c r="C72" s="103"/>
      <c r="D72" s="37"/>
      <c r="E72" s="37"/>
      <c r="F72" s="37"/>
      <c r="G72" s="37"/>
      <c r="H72" s="99"/>
      <c r="I72" s="37"/>
    </row>
    <row r="73">
      <c r="A73" s="65"/>
      <c r="B73" s="37"/>
      <c r="C73" s="103"/>
      <c r="D73" s="37"/>
      <c r="E73" s="37"/>
      <c r="F73" s="37"/>
      <c r="G73" s="37"/>
      <c r="H73" s="99"/>
      <c r="I73" s="37"/>
    </row>
    <row r="74">
      <c r="A74" s="65"/>
      <c r="B74" s="37"/>
      <c r="C74" s="103"/>
      <c r="D74" s="37"/>
      <c r="E74" s="37"/>
      <c r="F74" s="37"/>
      <c r="G74" s="37"/>
      <c r="H74" s="99"/>
      <c r="I74" s="37"/>
    </row>
    <row r="75">
      <c r="A75" s="65"/>
      <c r="B75" s="37"/>
      <c r="C75" s="103"/>
      <c r="D75" s="37"/>
      <c r="E75" s="37"/>
      <c r="F75" s="37"/>
      <c r="G75" s="37"/>
      <c r="H75" s="99"/>
      <c r="I75" s="37"/>
    </row>
    <row r="76">
      <c r="A76" s="65"/>
      <c r="B76" s="37"/>
      <c r="C76" s="103"/>
      <c r="D76" s="37"/>
      <c r="E76" s="37"/>
      <c r="F76" s="37"/>
      <c r="G76" s="37"/>
      <c r="H76" s="99"/>
      <c r="I76" s="37"/>
    </row>
    <row r="77">
      <c r="A77" s="65"/>
      <c r="B77" s="37"/>
      <c r="C77" s="103"/>
      <c r="D77" s="37"/>
      <c r="E77" s="37"/>
      <c r="F77" s="37"/>
      <c r="G77" s="37"/>
      <c r="H77" s="99"/>
      <c r="I77" s="37"/>
    </row>
    <row r="78">
      <c r="A78" s="65"/>
      <c r="B78" s="37"/>
      <c r="C78" s="103"/>
      <c r="D78" s="37"/>
      <c r="E78" s="37"/>
      <c r="F78" s="37"/>
      <c r="G78" s="37"/>
      <c r="H78" s="99"/>
      <c r="I78" s="37"/>
    </row>
    <row r="79">
      <c r="A79" s="65"/>
      <c r="B79" s="37"/>
      <c r="C79" s="103"/>
      <c r="D79" s="37"/>
      <c r="E79" s="37"/>
      <c r="F79" s="37"/>
      <c r="G79" s="37"/>
      <c r="H79" s="99"/>
      <c r="I79" s="37"/>
    </row>
    <row r="80">
      <c r="A80" s="65"/>
      <c r="B80" s="37"/>
      <c r="C80" s="103"/>
      <c r="D80" s="37"/>
      <c r="E80" s="37"/>
      <c r="F80" s="37"/>
      <c r="G80" s="37"/>
      <c r="H80" s="99"/>
      <c r="I80" s="37"/>
    </row>
    <row r="81">
      <c r="A81" s="65"/>
      <c r="B81" s="37"/>
      <c r="C81" s="103"/>
      <c r="D81" s="37"/>
      <c r="E81" s="37"/>
      <c r="F81" s="37"/>
      <c r="G81" s="37"/>
      <c r="H81" s="99"/>
      <c r="I81" s="37"/>
    </row>
    <row r="82">
      <c r="A82" s="65"/>
      <c r="B82" s="37"/>
      <c r="C82" s="103"/>
      <c r="D82" s="37"/>
      <c r="E82" s="37"/>
      <c r="F82" s="37"/>
      <c r="G82" s="37"/>
      <c r="H82" s="99"/>
      <c r="I82" s="37"/>
    </row>
    <row r="83">
      <c r="A83" s="65"/>
      <c r="B83" s="37"/>
      <c r="C83" s="103"/>
      <c r="D83" s="37"/>
      <c r="E83" s="37"/>
      <c r="F83" s="37"/>
      <c r="G83" s="37"/>
      <c r="H83" s="99"/>
      <c r="I83" s="37"/>
    </row>
    <row r="84">
      <c r="A84" s="65"/>
      <c r="B84" s="37"/>
      <c r="C84" s="103"/>
      <c r="D84" s="37"/>
      <c r="E84" s="37"/>
      <c r="F84" s="37"/>
      <c r="G84" s="37"/>
      <c r="H84" s="99"/>
      <c r="I84" s="37"/>
    </row>
    <row r="85">
      <c r="A85" s="65"/>
      <c r="B85" s="37"/>
      <c r="C85" s="103"/>
      <c r="D85" s="37"/>
      <c r="E85" s="37"/>
      <c r="F85" s="37"/>
      <c r="G85" s="37"/>
      <c r="H85" s="99"/>
      <c r="I85" s="37"/>
    </row>
    <row r="86">
      <c r="A86" s="65"/>
      <c r="B86" s="103"/>
      <c r="C86" s="37"/>
      <c r="D86" s="37"/>
      <c r="E86" s="37"/>
      <c r="F86" s="65"/>
      <c r="G86" s="37"/>
      <c r="H86" s="104"/>
      <c r="I86" s="37"/>
    </row>
    <row r="87">
      <c r="A87" s="65"/>
      <c r="B87" s="103"/>
      <c r="C87" s="37"/>
      <c r="D87" s="37"/>
      <c r="E87" s="37"/>
      <c r="F87" s="65"/>
      <c r="G87" s="37"/>
      <c r="H87" s="104"/>
      <c r="I87" s="37"/>
    </row>
    <row r="88">
      <c r="A88" s="65"/>
      <c r="B88" s="37"/>
      <c r="C88" s="37"/>
      <c r="D88" s="37"/>
      <c r="E88" s="37"/>
      <c r="F88" s="37"/>
      <c r="G88" s="37"/>
      <c r="H88" s="99"/>
      <c r="I88" s="37"/>
    </row>
    <row r="89">
      <c r="A89" s="65"/>
      <c r="B89" s="37"/>
      <c r="C89" s="103"/>
      <c r="D89" s="37"/>
      <c r="E89" s="37"/>
      <c r="F89" s="37"/>
      <c r="G89" s="37"/>
      <c r="H89" s="104"/>
      <c r="I89" s="37"/>
    </row>
    <row r="90">
      <c r="A90" s="65"/>
      <c r="B90" s="37"/>
      <c r="C90" s="37"/>
      <c r="D90" s="37"/>
      <c r="E90" s="37"/>
      <c r="F90" s="37"/>
      <c r="G90" s="37"/>
      <c r="H90" s="99"/>
      <c r="I90" s="37"/>
    </row>
    <row r="91">
      <c r="A91" s="65"/>
      <c r="B91" s="37"/>
      <c r="C91" s="37"/>
      <c r="D91" s="37"/>
      <c r="E91" s="37"/>
      <c r="F91" s="37"/>
      <c r="G91" s="37"/>
      <c r="H91" s="99"/>
      <c r="I91" s="37"/>
    </row>
    <row r="92">
      <c r="A92" s="65"/>
      <c r="B92" s="103"/>
      <c r="C92" s="37"/>
      <c r="D92" s="37"/>
      <c r="E92" s="37"/>
      <c r="F92" s="65"/>
      <c r="G92" s="37"/>
      <c r="H92" s="104"/>
      <c r="I92" s="37"/>
    </row>
    <row r="93">
      <c r="A93" s="65"/>
      <c r="B93" s="37"/>
      <c r="C93" s="37"/>
      <c r="D93" s="37"/>
      <c r="E93" s="37"/>
      <c r="F93" s="65"/>
      <c r="G93" s="37"/>
      <c r="H93" s="104"/>
      <c r="I93" s="37"/>
    </row>
    <row r="94">
      <c r="A94" s="65"/>
      <c r="B94" s="103"/>
      <c r="C94" s="37"/>
      <c r="D94" s="37"/>
      <c r="E94" s="37"/>
      <c r="F94" s="65"/>
      <c r="G94" s="37"/>
      <c r="H94" s="104"/>
      <c r="I94" s="37"/>
    </row>
    <row r="95">
      <c r="A95" s="65"/>
      <c r="B95" s="37"/>
      <c r="C95" s="103"/>
      <c r="D95" s="37"/>
      <c r="E95" s="37"/>
      <c r="F95" s="37"/>
      <c r="G95" s="37"/>
      <c r="H95" s="99"/>
      <c r="I95" s="37"/>
    </row>
    <row r="96">
      <c r="A96" s="65"/>
      <c r="B96" s="37"/>
      <c r="C96" s="103"/>
      <c r="D96" s="37"/>
      <c r="E96" s="37"/>
      <c r="F96" s="37"/>
      <c r="G96" s="37"/>
      <c r="H96" s="99"/>
      <c r="I96" s="37"/>
    </row>
    <row r="97">
      <c r="A97" s="65"/>
      <c r="B97" s="37"/>
      <c r="C97" s="103"/>
      <c r="D97" s="37"/>
      <c r="E97" s="37"/>
      <c r="F97" s="37"/>
      <c r="G97" s="37"/>
      <c r="H97" s="99"/>
      <c r="I97" s="37"/>
    </row>
    <row r="98">
      <c r="A98" s="65"/>
      <c r="B98" s="37"/>
      <c r="C98" s="103"/>
      <c r="D98" s="37"/>
      <c r="E98" s="37"/>
      <c r="F98" s="37"/>
      <c r="G98" s="37"/>
      <c r="H98" s="99"/>
      <c r="I98" s="37"/>
    </row>
    <row r="99">
      <c r="A99" s="65"/>
      <c r="B99" s="37"/>
      <c r="C99" s="103"/>
      <c r="D99" s="37"/>
      <c r="E99" s="37"/>
      <c r="F99" s="37"/>
      <c r="G99" s="37"/>
      <c r="H99" s="99"/>
      <c r="I99" s="37"/>
    </row>
    <row r="100">
      <c r="A100" s="65"/>
      <c r="B100" s="37"/>
      <c r="C100" s="37"/>
      <c r="D100" s="37"/>
      <c r="E100" s="37"/>
      <c r="F100" s="37"/>
      <c r="G100" s="37"/>
      <c r="H100" s="99"/>
      <c r="I100" s="37"/>
    </row>
    <row r="101">
      <c r="A101" s="65"/>
      <c r="B101" s="103"/>
      <c r="C101" s="37"/>
      <c r="D101" s="37"/>
      <c r="E101" s="37"/>
      <c r="F101" s="65"/>
      <c r="G101" s="37"/>
      <c r="H101" s="104"/>
      <c r="I101" s="37"/>
    </row>
    <row r="102">
      <c r="A102" s="65"/>
      <c r="B102" s="37"/>
      <c r="C102" s="103"/>
      <c r="D102" s="37"/>
      <c r="E102" s="37"/>
      <c r="F102" s="37"/>
      <c r="G102" s="37"/>
      <c r="H102" s="99"/>
      <c r="I102" s="37"/>
    </row>
    <row r="103">
      <c r="A103" s="65"/>
      <c r="B103" s="37"/>
      <c r="C103" s="103"/>
      <c r="D103" s="37"/>
      <c r="E103" s="37"/>
      <c r="F103" s="37"/>
      <c r="G103" s="37"/>
      <c r="H103" s="99"/>
      <c r="I103" s="37"/>
    </row>
    <row r="104">
      <c r="A104" s="65"/>
      <c r="B104" s="37"/>
      <c r="C104" s="103"/>
      <c r="D104" s="37"/>
      <c r="E104" s="37"/>
      <c r="F104" s="37"/>
      <c r="G104" s="37"/>
      <c r="H104" s="99"/>
      <c r="I104" s="37"/>
    </row>
    <row r="105">
      <c r="A105" s="65"/>
      <c r="B105" s="103"/>
      <c r="C105" s="37"/>
      <c r="D105" s="37"/>
      <c r="E105" s="37"/>
      <c r="F105" s="65"/>
      <c r="G105" s="37"/>
      <c r="H105" s="104"/>
      <c r="I105" s="37"/>
    </row>
    <row r="106">
      <c r="A106" s="65"/>
      <c r="B106" s="37"/>
      <c r="C106" s="103"/>
      <c r="D106" s="37"/>
      <c r="E106" s="37"/>
      <c r="F106" s="37"/>
      <c r="G106" s="37"/>
      <c r="H106" s="99"/>
      <c r="I106" s="37"/>
    </row>
    <row r="107">
      <c r="A107" s="65"/>
      <c r="B107" s="103"/>
      <c r="C107" s="37"/>
      <c r="D107" s="37"/>
      <c r="E107" s="37"/>
      <c r="F107" s="65"/>
      <c r="G107" s="37"/>
      <c r="H107" s="104"/>
      <c r="I107" s="37"/>
    </row>
    <row r="108">
      <c r="A108" s="65"/>
      <c r="B108" s="103"/>
      <c r="C108" s="37"/>
      <c r="D108" s="37"/>
      <c r="E108" s="37"/>
      <c r="F108" s="37"/>
      <c r="G108" s="37"/>
      <c r="H108" s="99"/>
      <c r="I108" s="37"/>
    </row>
    <row r="109">
      <c r="A109" s="65"/>
      <c r="B109" s="103"/>
      <c r="C109" s="37"/>
      <c r="D109" s="37"/>
      <c r="E109" s="37"/>
      <c r="F109" s="65"/>
      <c r="G109" s="37"/>
      <c r="H109" s="104"/>
      <c r="I109" s="37"/>
    </row>
    <row r="110">
      <c r="A110" s="65"/>
      <c r="B110" s="103"/>
      <c r="C110" s="37"/>
      <c r="D110" s="37"/>
      <c r="E110" s="37"/>
      <c r="F110" s="65"/>
      <c r="G110" s="37"/>
      <c r="H110" s="104"/>
      <c r="I110" s="37"/>
    </row>
    <row r="111">
      <c r="A111" s="65"/>
      <c r="B111" s="103"/>
      <c r="C111" s="37"/>
      <c r="D111" s="37"/>
      <c r="E111" s="37"/>
      <c r="F111" s="65"/>
      <c r="G111" s="37"/>
      <c r="H111" s="104"/>
      <c r="I111" s="37"/>
    </row>
    <row r="112">
      <c r="A112" s="37"/>
      <c r="B112" s="37"/>
      <c r="C112" s="103"/>
      <c r="D112" s="37"/>
      <c r="E112" s="37"/>
      <c r="F112" s="37"/>
      <c r="G112" s="37"/>
      <c r="H112" s="99"/>
      <c r="I112" s="37"/>
    </row>
    <row r="113">
      <c r="A113" s="65"/>
      <c r="B113" s="37"/>
      <c r="C113" s="37"/>
      <c r="D113" s="37"/>
      <c r="E113" s="37"/>
      <c r="F113" s="65"/>
      <c r="G113" s="37"/>
      <c r="H113" s="104"/>
      <c r="I113" s="37"/>
    </row>
    <row r="114">
      <c r="A114" s="65"/>
      <c r="B114" s="37"/>
      <c r="C114" s="37"/>
      <c r="D114" s="37"/>
      <c r="E114" s="37"/>
      <c r="F114" s="65"/>
      <c r="G114" s="37"/>
      <c r="H114" s="104"/>
      <c r="I114" s="37"/>
    </row>
    <row r="115">
      <c r="A115" s="65"/>
      <c r="B115" s="103"/>
      <c r="C115" s="37"/>
      <c r="D115" s="37"/>
      <c r="E115" s="37"/>
      <c r="F115" s="65"/>
      <c r="G115" s="37"/>
      <c r="H115" s="104"/>
      <c r="I115" s="37"/>
    </row>
    <row r="116">
      <c r="A116" s="65"/>
      <c r="B116" s="37"/>
      <c r="C116" s="103"/>
      <c r="D116" s="37"/>
      <c r="E116" s="37"/>
      <c r="F116" s="37"/>
      <c r="G116" s="37"/>
      <c r="H116" s="99"/>
      <c r="I116" s="37"/>
    </row>
    <row r="117">
      <c r="A117" s="65"/>
      <c r="B117" s="37"/>
      <c r="C117" s="103"/>
      <c r="D117" s="37"/>
      <c r="E117" s="37"/>
      <c r="F117" s="37"/>
      <c r="G117" s="37"/>
      <c r="H117" s="99"/>
      <c r="I117" s="37"/>
    </row>
    <row r="118">
      <c r="A118" s="65"/>
      <c r="B118" s="103"/>
      <c r="C118" s="37"/>
      <c r="D118" s="37"/>
      <c r="E118" s="37"/>
      <c r="F118" s="65"/>
      <c r="G118" s="37"/>
      <c r="H118" s="104"/>
      <c r="I118" s="65"/>
    </row>
    <row r="119">
      <c r="A119" s="65"/>
      <c r="B119" s="103"/>
      <c r="C119" s="37"/>
      <c r="D119" s="37"/>
      <c r="E119" s="37"/>
      <c r="F119" s="65"/>
      <c r="G119" s="37"/>
      <c r="H119" s="104"/>
      <c r="I119" s="65"/>
    </row>
    <row r="120">
      <c r="A120" s="65"/>
      <c r="B120" s="103"/>
      <c r="C120" s="37"/>
      <c r="D120" s="37"/>
      <c r="E120" s="37"/>
      <c r="F120" s="65"/>
      <c r="G120" s="37"/>
      <c r="H120" s="104"/>
      <c r="I120" s="37"/>
    </row>
    <row r="121">
      <c r="A121" s="65"/>
      <c r="B121" s="37"/>
      <c r="C121" s="37"/>
      <c r="D121" s="37"/>
      <c r="E121" s="37"/>
      <c r="F121" s="37"/>
      <c r="G121" s="37"/>
      <c r="H121" s="99"/>
      <c r="I121" s="37"/>
    </row>
    <row r="122">
      <c r="A122" s="65"/>
      <c r="B122" s="103"/>
      <c r="C122" s="37"/>
      <c r="D122" s="37"/>
      <c r="E122" s="37"/>
      <c r="F122" s="65"/>
      <c r="G122" s="37"/>
      <c r="H122" s="104"/>
      <c r="I122" s="37"/>
    </row>
    <row r="123">
      <c r="A123" s="65"/>
      <c r="B123" s="103"/>
      <c r="C123" s="37"/>
      <c r="D123" s="37"/>
      <c r="E123" s="37"/>
      <c r="F123" s="37"/>
      <c r="G123" s="37"/>
      <c r="H123" s="99"/>
      <c r="I123" s="37"/>
    </row>
    <row r="124">
      <c r="A124" s="65"/>
      <c r="B124" s="103"/>
      <c r="C124" s="37"/>
      <c r="D124" s="37"/>
      <c r="E124" s="37"/>
      <c r="F124" s="65"/>
      <c r="G124" s="37"/>
      <c r="H124" s="104"/>
      <c r="I124" s="37"/>
    </row>
    <row r="125">
      <c r="A125" s="65"/>
      <c r="B125" s="37"/>
      <c r="C125" s="103"/>
      <c r="D125" s="37"/>
      <c r="E125" s="37"/>
      <c r="F125" s="37"/>
      <c r="G125" s="37"/>
      <c r="H125" s="99"/>
      <c r="I125" s="37"/>
    </row>
    <row r="126">
      <c r="A126" s="65"/>
      <c r="B126" s="103"/>
      <c r="C126" s="37"/>
      <c r="D126" s="37"/>
      <c r="E126" s="37"/>
      <c r="F126" s="65"/>
      <c r="G126" s="37"/>
      <c r="H126" s="104"/>
      <c r="I126" s="37"/>
    </row>
    <row r="127">
      <c r="A127" s="65"/>
      <c r="B127" s="37"/>
      <c r="C127" s="103"/>
      <c r="D127" s="37"/>
      <c r="E127" s="37"/>
      <c r="F127" s="37"/>
      <c r="G127" s="37"/>
      <c r="H127" s="99"/>
      <c r="I127" s="37"/>
    </row>
    <row r="128">
      <c r="A128" s="65"/>
      <c r="B128" s="37"/>
      <c r="C128" s="103"/>
      <c r="H128" s="105"/>
    </row>
    <row r="129">
      <c r="A129" s="65"/>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239</v>
      </c>
    </row>
    <row r="2">
      <c r="B2" s="14" t="s">
        <v>240</v>
      </c>
      <c r="C2" s="77" t="s">
        <v>241</v>
      </c>
      <c r="D2" s="14" t="s">
        <v>240</v>
      </c>
    </row>
    <row r="3">
      <c r="B3" s="101">
        <v>100.0</v>
      </c>
      <c r="C3" s="77" t="s">
        <v>242</v>
      </c>
      <c r="D3" s="98">
        <f>(B3*(1/value(VLOOKUP(B2,MoneyRates!A:B,2,FALSE))))*value(VLOOKUP(D2,MoneyRates!A:B,2,FALSE))</f>
        <v>100</v>
      </c>
    </row>
    <row r="5">
      <c r="A5" s="38" t="s">
        <v>243</v>
      </c>
    </row>
    <row r="6">
      <c r="A6" s="14" t="s">
        <v>244</v>
      </c>
      <c r="B6" s="101">
        <v>100000.0</v>
      </c>
    </row>
    <row r="7">
      <c r="A7" s="14" t="s">
        <v>245</v>
      </c>
      <c r="B7" s="101">
        <v>0.0</v>
      </c>
    </row>
    <row r="8">
      <c r="A8" s="14" t="s">
        <v>246</v>
      </c>
      <c r="B8" s="101">
        <v>0.0</v>
      </c>
    </row>
    <row r="9">
      <c r="A9" s="14" t="s">
        <v>247</v>
      </c>
      <c r="B9" s="101">
        <v>0.0</v>
      </c>
    </row>
    <row r="10">
      <c r="A10" s="14" t="s">
        <v>248</v>
      </c>
      <c r="B10" s="101">
        <v>0.0</v>
      </c>
    </row>
    <row r="11">
      <c r="A11" s="14" t="s">
        <v>249</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Master Blacksmith (Change Name)</v>
      </c>
      <c r="C5" s="2"/>
      <c r="D5" s="106"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Dwarf</v>
      </c>
      <c r="C9" s="2"/>
      <c r="D9" s="13" t="str">
        <f>"🏹 Class: "&amp;IF(Leveler!I2,Leveler!K1&amp;CHAR(10)&amp;"Half Class: "&amp;Leveler!K2,Leveler!K1)</f>
        <v>🏹 Class: Monk
Half Class: Viking</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7</v>
      </c>
      <c r="C11" s="11" t="str">
        <f>"❤️[P] Constitution: "&amp;Leveler!G20+G14</f>
        <v>❤️[P] Constitution: 81</v>
      </c>
      <c r="D11" s="11" t="str">
        <f>"🏃‍♀️[P] Evasion: "&amp;Leveler!H20+H14</f>
        <v>🏃‍♀️[P] Evasion: 5</v>
      </c>
      <c r="E11" s="11" t="str">
        <f>"😈[P] Intimidation: "&amp;Leveler!I20+I14</f>
        <v>😈[P] Intimidation: 5</v>
      </c>
    </row>
    <row r="12">
      <c r="B12" s="13" t="str">
        <f>"💡 Intelligence: "&amp;Leveler!K18</f>
        <v>💡 Intelligence: </v>
      </c>
      <c r="C12" s="2"/>
      <c r="D12" s="13" t="str">
        <f>"🏊‍♀🏃‍♀️[P]  Mobility: "&amp;Leveler!J20</f>
        <v>🏊‍♀🏃‍♀️[P]  Mobility: 5</v>
      </c>
      <c r="E12" s="2"/>
    </row>
    <row r="13">
      <c r="B13" s="24" t="str">
        <f>"❤️ HP: "&amp;Leveler!B23-F10&amp;"/"&amp;Leveler!B23</f>
        <v>❤️ HP: 624/624</v>
      </c>
      <c r="C13" s="2"/>
      <c r="D13" s="24" t="str">
        <f>"🧪 SP: "&amp;Leveler!C23-G10&amp;"/"&amp;Leveler!C23</f>
        <v>🧪 SP: 624/624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Taurus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+6 Constitution, +2 Wisdom, 
Starts with the ability Blacksmith
+5 to forging rolls.
Can roll a d40 when attacking with a forged weapon.
Has dark-vision</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25% chance to be unaffected by weapon damage.
Forged weapons deal X4 damage for the user.
Enhanced Class Bonuses: Rank 9 in all elements (excluding Acoustic)
40% chance to take no damage from weapon attacks.
Gains 10 charisma when trying to persuade a guard.
</v>
      </c>
      <c r="C18" s="6"/>
      <c r="D18" s="6"/>
      <c r="E18" s="2"/>
    </row>
    <row r="19">
      <c r="B19" s="13" t="str">
        <f>Character!B20</f>
        <v>Other Bonuses: </v>
      </c>
      <c r="C19" s="6"/>
      <c r="D19" s="6"/>
      <c r="E19" s="2"/>
    </row>
    <row r="20">
      <c r="B20" s="13" t="str">
        <f>Character!B21</f>
        <v>Resistances: 
Vulnerabilities: </v>
      </c>
      <c r="C20" s="6"/>
      <c r="D20" s="6"/>
      <c r="E20" s="2"/>
    </row>
    <row r="21">
      <c r="B21" s="107" t="s">
        <v>250</v>
      </c>
      <c r="C21" s="6"/>
      <c r="D21" s="6"/>
      <c r="E21" s="2"/>
    </row>
    <row r="22">
      <c r="B22" s="108"/>
      <c r="E22" s="35"/>
    </row>
    <row r="23">
      <c r="B23" s="75"/>
      <c r="E23" s="35"/>
    </row>
    <row r="24">
      <c r="B24" s="75"/>
      <c r="E24" s="35"/>
    </row>
    <row r="25">
      <c r="B25" s="75"/>
      <c r="E25" s="35"/>
    </row>
    <row r="26">
      <c r="B26" s="75"/>
      <c r="E26" s="35"/>
    </row>
    <row r="27">
      <c r="B27" s="75"/>
      <c r="E27" s="35"/>
    </row>
    <row r="28">
      <c r="B28" s="75"/>
      <c r="E28" s="35"/>
    </row>
    <row r="29">
      <c r="B29" s="75"/>
      <c r="E29" s="35"/>
    </row>
    <row r="30">
      <c r="B30" s="75"/>
      <c r="E30" s="35"/>
    </row>
    <row r="31">
      <c r="B31" s="75"/>
      <c r="E31" s="35"/>
    </row>
    <row r="32">
      <c r="B32" s="75"/>
      <c r="E32" s="35"/>
    </row>
    <row r="33">
      <c r="B33" s="75"/>
      <c r="E33" s="35"/>
    </row>
    <row r="34">
      <c r="B34" s="75"/>
      <c r="E34" s="35"/>
    </row>
    <row r="35">
      <c r="B35" s="75"/>
      <c r="E35" s="35"/>
    </row>
    <row r="36">
      <c r="B36" s="75"/>
      <c r="E36" s="35"/>
    </row>
    <row r="37">
      <c r="B37" s="75"/>
      <c r="E37" s="35"/>
    </row>
    <row r="38">
      <c r="B38" s="75"/>
      <c r="E38" s="35"/>
    </row>
    <row r="39">
      <c r="B39" s="75"/>
      <c r="E39" s="35"/>
    </row>
    <row r="40">
      <c r="B40" s="75"/>
      <c r="E40" s="35"/>
    </row>
    <row r="41">
      <c r="B41" s="75"/>
      <c r="E41" s="35"/>
    </row>
    <row r="42">
      <c r="B42" s="75"/>
      <c r="E42" s="35"/>
    </row>
    <row r="43">
      <c r="B43" s="75"/>
      <c r="E43" s="35"/>
    </row>
    <row r="44">
      <c r="B44" s="75"/>
      <c r="E44" s="35"/>
    </row>
    <row r="45">
      <c r="B45" s="75"/>
      <c r="E45" s="35"/>
    </row>
    <row r="46">
      <c r="B46" s="75"/>
      <c r="E46" s="35"/>
    </row>
    <row r="47">
      <c r="B47" s="75"/>
      <c r="E47" s="35"/>
    </row>
    <row r="48">
      <c r="B48" s="75"/>
      <c r="E48" s="35"/>
    </row>
    <row r="49">
      <c r="B49" s="75"/>
      <c r="E49" s="35"/>
    </row>
    <row r="50">
      <c r="B50" s="75"/>
      <c r="E50" s="35"/>
    </row>
    <row r="51">
      <c r="B51" s="75"/>
      <c r="E51" s="35"/>
    </row>
    <row r="52">
      <c r="B52" s="75"/>
      <c r="E52" s="35"/>
    </row>
    <row r="53">
      <c r="B53" s="75"/>
      <c r="E53" s="35"/>
    </row>
    <row r="54">
      <c r="B54" s="75"/>
      <c r="E54" s="35"/>
    </row>
    <row r="55">
      <c r="B55" s="7"/>
      <c r="C55" s="89"/>
      <c r="D55" s="89"/>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09" t="s">
        <v>251</v>
      </c>
      <c r="I1" s="92"/>
      <c r="J1" s="92"/>
    </row>
    <row r="2">
      <c r="A2" s="97"/>
      <c r="B2" s="97"/>
      <c r="C2" s="92"/>
      <c r="D2" s="92"/>
      <c r="E2" s="92"/>
      <c r="F2" s="92"/>
      <c r="G2" s="92"/>
      <c r="H2" s="92"/>
      <c r="I2" s="92"/>
      <c r="J2" s="92"/>
    </row>
    <row r="3">
      <c r="A3" s="97" t="s">
        <v>24</v>
      </c>
      <c r="B3" s="97" t="s">
        <v>183</v>
      </c>
      <c r="C3" s="92" t="s">
        <v>214</v>
      </c>
      <c r="D3" s="92" t="s">
        <v>215</v>
      </c>
      <c r="E3" s="92" t="s">
        <v>216</v>
      </c>
      <c r="F3" s="92" t="s">
        <v>26</v>
      </c>
      <c r="G3" s="92" t="s">
        <v>217</v>
      </c>
      <c r="H3" s="92" t="s">
        <v>181</v>
      </c>
      <c r="I3" s="92"/>
      <c r="J3" s="92"/>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tr">
        <f>IFERROR(__xludf.DUMMYFUNCTION("IMPORTRANGE(""https://docs.google.com/spreadsheets/d/""&amp;Config!B1,""Achievments!A:E"")"),"Name")</f>
        <v>Name</v>
      </c>
      <c r="B1" s="92" t="str">
        <f>IFERROR(__xludf.DUMMYFUNCTION("""COMPUTED_VALUE"""),"Requirement")</f>
        <v>Requirement</v>
      </c>
      <c r="C1" s="92" t="str">
        <f>IFERROR(__xludf.DUMMYFUNCTION("""COMPUTED_VALUE"""),"Ability")</f>
        <v>Ability</v>
      </c>
      <c r="D1" s="92" t="str">
        <f>IFERROR(__xludf.DUMMYFUNCTION("""COMPUTED_VALUE"""),"Rarity")</f>
        <v>Rarity</v>
      </c>
      <c r="E1" s="92" t="str">
        <f>IFERROR(__xludf.DUMMYFUNCTION("""COMPUTED_VALUE"""),"Value")</f>
        <v>Value</v>
      </c>
      <c r="F1" s="38" t="s">
        <v>252</v>
      </c>
      <c r="G1" s="38" t="s">
        <v>253</v>
      </c>
      <c r="H1" s="92"/>
      <c r="I1" s="92"/>
      <c r="J1" s="92"/>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
        <v>254</v>
      </c>
      <c r="B1" s="92" t="s">
        <v>255</v>
      </c>
      <c r="C1" s="92" t="s">
        <v>256</v>
      </c>
      <c r="D1" s="92" t="s">
        <v>80</v>
      </c>
      <c r="E1" s="92" t="s">
        <v>257</v>
      </c>
      <c r="F1" s="38" t="s">
        <v>252</v>
      </c>
      <c r="G1" s="39" t="s">
        <v>258</v>
      </c>
      <c r="H1" s="39" t="s">
        <v>259</v>
      </c>
      <c r="I1" s="39" t="s">
        <v>253</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0" t="b">
        <v>0</v>
      </c>
      <c r="H2" s="110" t="b">
        <v>0</v>
      </c>
      <c r="I2" s="110"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0" t="b">
        <v>0</v>
      </c>
      <c r="H3" s="110" t="b">
        <v>0</v>
      </c>
      <c r="I3" s="110"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0" t="b">
        <v>0</v>
      </c>
      <c r="H4" s="110" t="b">
        <v>0</v>
      </c>
      <c r="I4" s="110"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0" t="b">
        <v>0</v>
      </c>
      <c r="H5" s="110" t="b">
        <v>0</v>
      </c>
      <c r="I5" s="110"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0" t="b">
        <v>0</v>
      </c>
      <c r="H6" s="110" t="b">
        <v>0</v>
      </c>
      <c r="I6" s="110"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0" t="b">
        <v>0</v>
      </c>
      <c r="H7" s="110" t="b">
        <v>0</v>
      </c>
      <c r="I7" s="110"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0" t="b">
        <v>0</v>
      </c>
      <c r="H8" s="110" t="b">
        <v>0</v>
      </c>
      <c r="I8" s="110"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0" t="b">
        <v>0</v>
      </c>
      <c r="H9" s="110" t="b">
        <v>0</v>
      </c>
      <c r="I9" s="110"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0" t="b">
        <v>0</v>
      </c>
      <c r="H10" s="110" t="b">
        <v>0</v>
      </c>
      <c r="I10" s="110"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0" t="b">
        <v>0</v>
      </c>
      <c r="H11" s="110" t="b">
        <v>0</v>
      </c>
      <c r="I11" s="110"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0" t="b">
        <v>0</v>
      </c>
      <c r="H12" s="110" t="b">
        <v>0</v>
      </c>
      <c r="I12" s="110"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0" t="b">
        <v>0</v>
      </c>
      <c r="H13" s="110" t="b">
        <v>0</v>
      </c>
      <c r="I13" s="110"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0" t="b">
        <v>0</v>
      </c>
      <c r="H14" s="110" t="b">
        <v>0</v>
      </c>
      <c r="I14" s="110"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0" t="b">
        <v>0</v>
      </c>
      <c r="H15" s="110" t="b">
        <v>0</v>
      </c>
      <c r="I15" s="110"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0" t="b">
        <v>0</v>
      </c>
      <c r="H16" s="110" t="b">
        <v>0</v>
      </c>
      <c r="I16" s="110"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0" t="b">
        <v>0</v>
      </c>
      <c r="H17" s="110" t="b">
        <v>0</v>
      </c>
      <c r="I17" s="110"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0" t="b">
        <v>0</v>
      </c>
      <c r="H18" s="110" t="b">
        <v>0</v>
      </c>
      <c r="I18" s="110"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0" t="b">
        <v>0</v>
      </c>
      <c r="H19" s="110" t="b">
        <v>0</v>
      </c>
      <c r="I19" s="110"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0" t="b">
        <v>0</v>
      </c>
      <c r="H20" s="110" t="b">
        <v>0</v>
      </c>
      <c r="I20" s="110"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0" t="b">
        <v>0</v>
      </c>
      <c r="H21" s="110" t="b">
        <v>0</v>
      </c>
      <c r="I21" s="110"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0" t="b">
        <v>0</v>
      </c>
      <c r="H22" s="110" t="b">
        <v>0</v>
      </c>
      <c r="I22" s="110"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0" t="b">
        <v>0</v>
      </c>
      <c r="H23" s="110" t="b">
        <v>0</v>
      </c>
      <c r="I23" s="110"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0" t="b">
        <v>0</v>
      </c>
      <c r="H24" s="110" t="b">
        <v>0</v>
      </c>
      <c r="I24" s="110"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0" t="b">
        <v>0</v>
      </c>
      <c r="H25" s="110" t="b">
        <v>0</v>
      </c>
      <c r="I25" s="110"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0" t="b">
        <v>0</v>
      </c>
      <c r="H26" s="110" t="b">
        <v>0</v>
      </c>
      <c r="I26" s="110"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0" t="b">
        <v>0</v>
      </c>
      <c r="H27" s="110" t="b">
        <v>0</v>
      </c>
      <c r="I27" s="110"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0" t="b">
        <v>0</v>
      </c>
      <c r="H28" s="110" t="b">
        <v>0</v>
      </c>
      <c r="I28" s="110"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0" t="b">
        <v>0</v>
      </c>
      <c r="H29" s="110" t="b">
        <v>0</v>
      </c>
      <c r="I29" s="110"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0" t="b">
        <v>0</v>
      </c>
      <c r="H30" s="110" t="b">
        <v>0</v>
      </c>
      <c r="I30" s="110"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0" t="b">
        <v>0</v>
      </c>
      <c r="H31" s="110" t="b">
        <v>0</v>
      </c>
      <c r="I31" s="110"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0" t="b">
        <v>0</v>
      </c>
      <c r="H32" s="110" t="b">
        <v>0</v>
      </c>
      <c r="I32" s="110"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0" t="b">
        <v>0</v>
      </c>
      <c r="H33" s="110" t="b">
        <v>0</v>
      </c>
      <c r="I33" s="110"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0" t="b">
        <v>0</v>
      </c>
      <c r="H34" s="110" t="b">
        <v>0</v>
      </c>
      <c r="I34" s="110"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0" t="b">
        <v>0</v>
      </c>
      <c r="H35" s="110" t="b">
        <v>0</v>
      </c>
      <c r="I35" s="110"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0" t="b">
        <v>0</v>
      </c>
      <c r="H36" s="110" t="b">
        <v>0</v>
      </c>
      <c r="I36" s="110"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0" t="b">
        <v>0</v>
      </c>
      <c r="H37" s="110" t="b">
        <v>0</v>
      </c>
      <c r="I37" s="110"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0" t="b">
        <v>0</v>
      </c>
      <c r="H38" s="110" t="b">
        <v>0</v>
      </c>
      <c r="I38" s="110"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0" t="b">
        <v>0</v>
      </c>
      <c r="H39" s="110" t="b">
        <v>0</v>
      </c>
      <c r="I39" s="110"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0" t="b">
        <v>0</v>
      </c>
      <c r="H40" s="110" t="b">
        <v>0</v>
      </c>
      <c r="I40" s="110"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0" t="b">
        <v>0</v>
      </c>
      <c r="H41" s="110" t="b">
        <v>0</v>
      </c>
      <c r="I41" s="110"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0" t="b">
        <v>0</v>
      </c>
      <c r="H42" s="110" t="b">
        <v>0</v>
      </c>
      <c r="I42" s="110"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0" t="b">
        <v>0</v>
      </c>
      <c r="H43" s="110" t="b">
        <v>0</v>
      </c>
      <c r="I43" s="110"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0" t="b">
        <v>0</v>
      </c>
      <c r="H44" s="110" t="b">
        <v>0</v>
      </c>
      <c r="I44" s="110"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0" t="b">
        <v>0</v>
      </c>
      <c r="H45" s="110" t="b">
        <v>0</v>
      </c>
      <c r="I45" s="110"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0" t="b">
        <v>0</v>
      </c>
      <c r="H46" s="110" t="b">
        <v>0</v>
      </c>
      <c r="I46" s="110"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0" t="b">
        <v>0</v>
      </c>
      <c r="H47" s="110" t="b">
        <v>0</v>
      </c>
      <c r="I47" s="110"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0" t="b">
        <v>0</v>
      </c>
      <c r="H48" s="110" t="b">
        <v>0</v>
      </c>
      <c r="I48" s="110"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0" t="b">
        <v>0</v>
      </c>
      <c r="H49" s="110" t="b">
        <v>0</v>
      </c>
      <c r="I49" s="110"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0" t="b">
        <v>0</v>
      </c>
      <c r="H50" s="110" t="b">
        <v>0</v>
      </c>
      <c r="I50" s="110"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0" t="b">
        <v>0</v>
      </c>
      <c r="H51" s="110" t="b">
        <v>0</v>
      </c>
      <c r="I51" s="110"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0" t="b">
        <v>0</v>
      </c>
      <c r="H52" s="110" t="b">
        <v>0</v>
      </c>
      <c r="I52" s="110"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0" t="b">
        <v>0</v>
      </c>
      <c r="H53" s="110" t="b">
        <v>0</v>
      </c>
      <c r="I53" s="110"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0" t="b">
        <v>0</v>
      </c>
      <c r="H54" s="110" t="b">
        <v>0</v>
      </c>
      <c r="I54" s="110"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0" t="b">
        <v>0</v>
      </c>
      <c r="H55" s="110" t="b">
        <v>0</v>
      </c>
      <c r="I55" s="110"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0" t="b">
        <v>0</v>
      </c>
      <c r="H56" s="110" t="b">
        <v>0</v>
      </c>
      <c r="I56" s="110"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0" t="b">
        <v>0</v>
      </c>
      <c r="H57" s="110" t="b">
        <v>0</v>
      </c>
      <c r="I57" s="110"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0" t="b">
        <v>0</v>
      </c>
      <c r="H58" s="110" t="b">
        <v>0</v>
      </c>
      <c r="I58" s="110"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0" t="b">
        <v>0</v>
      </c>
      <c r="H59" s="110" t="b">
        <v>0</v>
      </c>
      <c r="I59" s="110"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0" t="b">
        <v>0</v>
      </c>
      <c r="H60" s="110" t="b">
        <v>0</v>
      </c>
      <c r="I60" s="110"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0" t="b">
        <v>0</v>
      </c>
      <c r="H61" s="110" t="b">
        <v>0</v>
      </c>
      <c r="I61" s="110"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0" t="b">
        <v>0</v>
      </c>
      <c r="H62" s="110" t="b">
        <v>0</v>
      </c>
      <c r="I62" s="110"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0" t="b">
        <v>0</v>
      </c>
      <c r="H63" s="110" t="b">
        <v>0</v>
      </c>
      <c r="I63" s="110"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0" t="b">
        <v>0</v>
      </c>
      <c r="H64" s="110" t="b">
        <v>0</v>
      </c>
      <c r="I64" s="110"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0" t="b">
        <v>0</v>
      </c>
      <c r="H65" s="110" t="b">
        <v>0</v>
      </c>
      <c r="I65" s="110"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0" t="b">
        <v>0</v>
      </c>
      <c r="H66" s="110" t="b">
        <v>0</v>
      </c>
      <c r="I66" s="110"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0" t="b">
        <v>0</v>
      </c>
      <c r="H67" s="110" t="b">
        <v>0</v>
      </c>
      <c r="I67" s="110"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1" t="b">
        <v>0</v>
      </c>
      <c r="H68" s="111" t="b">
        <v>0</v>
      </c>
      <c r="I68" s="111"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1" t="b">
        <v>0</v>
      </c>
      <c r="H69" s="111" t="b">
        <v>0</v>
      </c>
      <c r="I69" s="111"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1" t="b">
        <v>0</v>
      </c>
      <c r="H70" s="111" t="b">
        <v>0</v>
      </c>
      <c r="I70" s="111"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1" t="b">
        <v>0</v>
      </c>
      <c r="H71" s="111" t="b">
        <v>0</v>
      </c>
      <c r="I71" s="111"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1" t="b">
        <v>0</v>
      </c>
      <c r="H72" s="111" t="b">
        <v>0</v>
      </c>
      <c r="I72" s="111"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1" t="b">
        <v>0</v>
      </c>
      <c r="H73" s="111" t="b">
        <v>0</v>
      </c>
      <c r="I73" s="111"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1" t="b">
        <v>0</v>
      </c>
      <c r="H74" s="111" t="b">
        <v>0</v>
      </c>
      <c r="I74" s="111"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1" t="b">
        <v>0</v>
      </c>
      <c r="H75" s="111" t="b">
        <v>0</v>
      </c>
      <c r="I75" s="111"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1" t="b">
        <v>0</v>
      </c>
      <c r="H76" s="111" t="b">
        <v>0</v>
      </c>
      <c r="I76" s="111"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1" t="b">
        <v>0</v>
      </c>
      <c r="H77" s="111" t="b">
        <v>0</v>
      </c>
      <c r="I77" s="111"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1" t="b">
        <v>0</v>
      </c>
      <c r="H78" s="111" t="b">
        <v>0</v>
      </c>
      <c r="I78" s="111"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1" t="b">
        <v>0</v>
      </c>
      <c r="H79" s="111" t="b">
        <v>0</v>
      </c>
      <c r="I79" s="111"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1" t="b">
        <v>0</v>
      </c>
      <c r="H80" s="111" t="b">
        <v>0</v>
      </c>
      <c r="I80" s="111"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1" t="b">
        <v>0</v>
      </c>
      <c r="H81" s="111" t="b">
        <v>0</v>
      </c>
      <c r="I81" s="111"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1" t="b">
        <v>0</v>
      </c>
      <c r="H82" s="111" t="b">
        <v>0</v>
      </c>
      <c r="I82" s="111"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1" t="b">
        <v>0</v>
      </c>
      <c r="H83" s="111" t="b">
        <v>0</v>
      </c>
      <c r="I83" s="111"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1" t="b">
        <v>0</v>
      </c>
      <c r="H84" s="111" t="b">
        <v>0</v>
      </c>
      <c r="I84" s="111"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1" t="b">
        <v>0</v>
      </c>
      <c r="H85" s="111" t="b">
        <v>0</v>
      </c>
      <c r="I85" s="111"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1" t="b">
        <v>0</v>
      </c>
      <c r="H86" s="111" t="b">
        <v>0</v>
      </c>
      <c r="I86" s="111"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1" t="b">
        <v>0</v>
      </c>
      <c r="H87" s="111" t="b">
        <v>0</v>
      </c>
      <c r="I87" s="111"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1" t="b">
        <v>0</v>
      </c>
      <c r="H88" s="111" t="b">
        <v>0</v>
      </c>
      <c r="I88" s="111"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1" t="b">
        <v>0</v>
      </c>
      <c r="H89" s="111" t="b">
        <v>0</v>
      </c>
      <c r="I89" s="111"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1" t="b">
        <v>0</v>
      </c>
      <c r="H90" s="111" t="b">
        <v>0</v>
      </c>
      <c r="I90" s="111"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1" t="b">
        <v>0</v>
      </c>
      <c r="H91" s="111" t="b">
        <v>0</v>
      </c>
      <c r="I91" s="111"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1" t="b">
        <v>0</v>
      </c>
      <c r="H92" s="111" t="b">
        <v>0</v>
      </c>
      <c r="I92" s="111"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1" t="b">
        <v>0</v>
      </c>
      <c r="H93" s="111" t="b">
        <v>0</v>
      </c>
      <c r="I93" s="111"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1" t="b">
        <v>0</v>
      </c>
      <c r="H94" s="111" t="b">
        <v>0</v>
      </c>
      <c r="I94" s="111"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1" t="b">
        <v>0</v>
      </c>
      <c r="H95" s="111" t="b">
        <v>0</v>
      </c>
      <c r="I95" s="111"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1" t="b">
        <v>0</v>
      </c>
      <c r="H96" s="111" t="b">
        <v>0</v>
      </c>
      <c r="I96" s="111"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1" t="b">
        <v>0</v>
      </c>
      <c r="H97" s="111" t="b">
        <v>0</v>
      </c>
      <c r="I97" s="111"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1" t="b">
        <v>0</v>
      </c>
      <c r="H98" s="111" t="b">
        <v>0</v>
      </c>
      <c r="I98" s="111"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1" t="b">
        <v>0</v>
      </c>
      <c r="H99" s="111" t="b">
        <v>0</v>
      </c>
      <c r="I99" s="111"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1" t="b">
        <v>0</v>
      </c>
      <c r="H100" s="111" t="b">
        <v>0</v>
      </c>
      <c r="I100" s="111"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1" t="b">
        <v>0</v>
      </c>
      <c r="H101" s="111" t="b">
        <v>0</v>
      </c>
      <c r="I101" s="111"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1" t="b">
        <v>0</v>
      </c>
      <c r="H102" s="111" t="b">
        <v>0</v>
      </c>
      <c r="I102" s="111"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1" t="b">
        <v>0</v>
      </c>
      <c r="H103" s="111" t="b">
        <v>0</v>
      </c>
      <c r="I103" s="111"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1" t="b">
        <v>0</v>
      </c>
      <c r="H104" s="111" t="b">
        <v>0</v>
      </c>
      <c r="I104" s="111"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1" t="b">
        <v>0</v>
      </c>
      <c r="H105" s="111" t="b">
        <v>0</v>
      </c>
      <c r="I105" s="111"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1" t="b">
        <v>0</v>
      </c>
      <c r="H106" s="111" t="b">
        <v>0</v>
      </c>
      <c r="I106" s="111"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1" t="b">
        <v>0</v>
      </c>
      <c r="H107" s="111" t="b">
        <v>0</v>
      </c>
      <c r="I107" s="111"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1" t="b">
        <v>0</v>
      </c>
      <c r="H108" s="111" t="b">
        <v>0</v>
      </c>
      <c r="I108" s="111"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1" t="b">
        <v>0</v>
      </c>
      <c r="H109" s="111" t="b">
        <v>0</v>
      </c>
      <c r="I109" s="111"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1" t="b">
        <v>0</v>
      </c>
      <c r="H110" s="111" t="b">
        <v>0</v>
      </c>
      <c r="I110" s="111"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1" t="b">
        <v>0</v>
      </c>
      <c r="H111" s="111" t="b">
        <v>0</v>
      </c>
      <c r="I111" s="111"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1" t="b">
        <v>0</v>
      </c>
      <c r="H112" s="111" t="b">
        <v>0</v>
      </c>
      <c r="I112" s="111"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1" t="b">
        <v>0</v>
      </c>
      <c r="H113" s="111" t="b">
        <v>0</v>
      </c>
      <c r="I113" s="111"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1" t="b">
        <v>0</v>
      </c>
      <c r="H114" s="111" t="b">
        <v>0</v>
      </c>
      <c r="I114" s="111"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1" t="b">
        <v>0</v>
      </c>
      <c r="H115" s="111" t="b">
        <v>0</v>
      </c>
      <c r="I115" s="111"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1" t="b">
        <v>0</v>
      </c>
      <c r="H116" s="111" t="b">
        <v>0</v>
      </c>
      <c r="I116" s="111"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1" t="b">
        <v>0</v>
      </c>
      <c r="H117" s="111" t="b">
        <v>0</v>
      </c>
      <c r="I117" s="111"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1" t="b">
        <v>0</v>
      </c>
      <c r="H118" s="111" t="b">
        <v>0</v>
      </c>
      <c r="I118" s="111"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1" t="b">
        <v>0</v>
      </c>
      <c r="H119" s="111" t="b">
        <v>0</v>
      </c>
      <c r="I119" s="111"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1" t="b">
        <v>0</v>
      </c>
      <c r="H120" s="111" t="b">
        <v>0</v>
      </c>
      <c r="I120" s="111"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1" t="b">
        <v>0</v>
      </c>
      <c r="H121" s="111" t="b">
        <v>0</v>
      </c>
      <c r="I121" s="111"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1" t="b">
        <v>0</v>
      </c>
      <c r="H122" s="111" t="b">
        <v>0</v>
      </c>
      <c r="I122" s="111"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1" t="b">
        <v>0</v>
      </c>
      <c r="H123" s="111" t="b">
        <v>0</v>
      </c>
      <c r="I123" s="111"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1" t="b">
        <v>0</v>
      </c>
      <c r="H124" s="111" t="b">
        <v>0</v>
      </c>
      <c r="I124" s="111"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1" t="b">
        <v>0</v>
      </c>
      <c r="H125" s="111" t="b">
        <v>0</v>
      </c>
      <c r="I125" s="111"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1" t="b">
        <v>0</v>
      </c>
      <c r="H126" s="111" t="b">
        <v>0</v>
      </c>
      <c r="I126" s="111"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1" t="b">
        <v>0</v>
      </c>
      <c r="H127" s="111" t="b">
        <v>0</v>
      </c>
      <c r="I127" s="111"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1" t="b">
        <v>0</v>
      </c>
      <c r="H128" s="111" t="b">
        <v>0</v>
      </c>
      <c r="I128" s="111"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1" t="b">
        <v>0</v>
      </c>
      <c r="H129" s="111" t="b">
        <v>0</v>
      </c>
      <c r="I129" s="111"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1" t="b">
        <v>0</v>
      </c>
      <c r="H130" s="111" t="b">
        <v>0</v>
      </c>
      <c r="I130" s="111"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1" t="b">
        <v>0</v>
      </c>
      <c r="H131" s="111" t="b">
        <v>0</v>
      </c>
      <c r="I131" s="111"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1" t="b">
        <v>0</v>
      </c>
      <c r="H132" s="111" t="b">
        <v>0</v>
      </c>
      <c r="I132" s="111"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1" t="b">
        <v>0</v>
      </c>
      <c r="H133" s="111" t="b">
        <v>0</v>
      </c>
      <c r="I133" s="111"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1" t="b">
        <v>0</v>
      </c>
      <c r="H134" s="111" t="b">
        <v>0</v>
      </c>
      <c r="I134" s="111"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1" t="b">
        <v>0</v>
      </c>
      <c r="H135" s="111" t="b">
        <v>0</v>
      </c>
      <c r="I135" s="111"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1" t="b">
        <v>0</v>
      </c>
      <c r="H136" s="111" t="b">
        <v>0</v>
      </c>
      <c r="I136" s="111"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1" t="b">
        <v>0</v>
      </c>
      <c r="H137" s="111" t="b">
        <v>0</v>
      </c>
      <c r="I137" s="111"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1" t="b">
        <v>0</v>
      </c>
      <c r="H138" s="111" t="b">
        <v>0</v>
      </c>
      <c r="I138" s="111"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1" t="b">
        <v>0</v>
      </c>
      <c r="H139" s="111" t="b">
        <v>0</v>
      </c>
      <c r="I139" s="111"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1" t="b">
        <v>0</v>
      </c>
      <c r="H140" s="111" t="b">
        <v>0</v>
      </c>
      <c r="I140" s="111"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1" t="b">
        <v>0</v>
      </c>
      <c r="H141" s="111" t="b">
        <v>0</v>
      </c>
      <c r="I141" s="111"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1" t="b">
        <v>0</v>
      </c>
      <c r="H142" s="111" t="b">
        <v>0</v>
      </c>
      <c r="I142" s="111"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1" t="b">
        <v>0</v>
      </c>
      <c r="H143" s="111" t="b">
        <v>0</v>
      </c>
      <c r="I143" s="111"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1" t="b">
        <v>0</v>
      </c>
      <c r="H144" s="111" t="b">
        <v>0</v>
      </c>
      <c r="I144" s="111"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1" t="b">
        <v>0</v>
      </c>
      <c r="H145" s="111" t="b">
        <v>0</v>
      </c>
      <c r="I145" s="111"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1" t="b">
        <v>0</v>
      </c>
      <c r="H146" s="111" t="b">
        <v>0</v>
      </c>
      <c r="I146" s="111"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1" t="b">
        <v>0</v>
      </c>
      <c r="H147" s="111" t="b">
        <v>0</v>
      </c>
      <c r="I147" s="111"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1" t="b">
        <v>0</v>
      </c>
      <c r="H148" s="111" t="b">
        <v>0</v>
      </c>
      <c r="I148" s="111"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1" t="b">
        <v>0</v>
      </c>
      <c r="H149" s="111" t="b">
        <v>0</v>
      </c>
      <c r="I149" s="111"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1" t="b">
        <v>0</v>
      </c>
      <c r="H150" s="111" t="b">
        <v>0</v>
      </c>
      <c r="I150" s="111"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1" t="b">
        <v>0</v>
      </c>
      <c r="H151" s="111" t="b">
        <v>0</v>
      </c>
      <c r="I151" s="111"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1" t="b">
        <v>0</v>
      </c>
      <c r="H152" s="111" t="b">
        <v>0</v>
      </c>
      <c r="I152" s="111"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1" t="b">
        <v>0</v>
      </c>
      <c r="H153" s="111" t="b">
        <v>0</v>
      </c>
      <c r="I153" s="111"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1" t="b">
        <v>0</v>
      </c>
      <c r="H154" s="111" t="b">
        <v>0</v>
      </c>
      <c r="I154" s="111"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1" t="b">
        <v>0</v>
      </c>
      <c r="H155" s="111" t="b">
        <v>0</v>
      </c>
      <c r="I155" s="111"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1" t="b">
        <v>0</v>
      </c>
      <c r="H156" s="111" t="b">
        <v>0</v>
      </c>
      <c r="I156" s="111"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1" t="b">
        <v>0</v>
      </c>
      <c r="H157" s="111" t="b">
        <v>0</v>
      </c>
      <c r="I157" s="111"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1" t="b">
        <v>0</v>
      </c>
      <c r="H158" s="111" t="b">
        <v>0</v>
      </c>
      <c r="I158" s="111"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1" t="b">
        <v>0</v>
      </c>
      <c r="H159" s="111" t="b">
        <v>0</v>
      </c>
      <c r="I159" s="111"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1" t="b">
        <v>0</v>
      </c>
      <c r="H160" s="111" t="b">
        <v>0</v>
      </c>
      <c r="I160" s="111"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1" t="b">
        <v>0</v>
      </c>
      <c r="H161" s="111" t="b">
        <v>0</v>
      </c>
      <c r="I161" s="111"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1" t="b">
        <v>0</v>
      </c>
      <c r="H162" s="111" t="b">
        <v>0</v>
      </c>
      <c r="I162" s="111"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1" t="b">
        <v>0</v>
      </c>
      <c r="H163" s="111" t="b">
        <v>0</v>
      </c>
      <c r="I163" s="111"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1" t="b">
        <v>0</v>
      </c>
      <c r="H164" s="111" t="b">
        <v>0</v>
      </c>
      <c r="I164" s="111"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1" t="b">
        <v>0</v>
      </c>
      <c r="H165" s="111" t="b">
        <v>0</v>
      </c>
      <c r="I165" s="111"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1" t="b">
        <v>0</v>
      </c>
      <c r="H166" s="111" t="b">
        <v>0</v>
      </c>
      <c r="I166" s="111"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1" t="b">
        <v>0</v>
      </c>
      <c r="H167" s="111" t="b">
        <v>0</v>
      </c>
      <c r="I167" s="111"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1" t="b">
        <v>0</v>
      </c>
      <c r="H168" s="111" t="b">
        <v>0</v>
      </c>
      <c r="I168" s="111"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1" t="b">
        <v>0</v>
      </c>
      <c r="H169" s="111" t="b">
        <v>0</v>
      </c>
      <c r="I169" s="111"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1" t="b">
        <v>0</v>
      </c>
      <c r="H170" s="111" t="b">
        <v>0</v>
      </c>
      <c r="I170" s="111"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1" t="b">
        <v>0</v>
      </c>
      <c r="H171" s="111" t="b">
        <v>0</v>
      </c>
      <c r="I171" s="111"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1" t="b">
        <v>0</v>
      </c>
      <c r="H172" s="111" t="b">
        <v>0</v>
      </c>
      <c r="I172" s="111"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1" t="b">
        <v>0</v>
      </c>
      <c r="H173" s="111" t="b">
        <v>0</v>
      </c>
      <c r="I173" s="111"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1" t="b">
        <v>0</v>
      </c>
      <c r="H174" s="111" t="b">
        <v>0</v>
      </c>
      <c r="I174" s="111"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1" t="b">
        <v>0</v>
      </c>
      <c r="H175" s="111" t="b">
        <v>0</v>
      </c>
      <c r="I175" s="111"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1" t="b">
        <v>0</v>
      </c>
      <c r="H176" s="111" t="b">
        <v>0</v>
      </c>
      <c r="I176" s="111"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1" t="b">
        <v>0</v>
      </c>
      <c r="H177" s="111" t="b">
        <v>0</v>
      </c>
      <c r="I177" s="111"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1" t="b">
        <v>0</v>
      </c>
      <c r="H178" s="111" t="b">
        <v>0</v>
      </c>
      <c r="I178" s="111"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1" t="b">
        <v>0</v>
      </c>
      <c r="H179" s="111" t="b">
        <v>0</v>
      </c>
      <c r="I179" s="111"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1" t="b">
        <v>0</v>
      </c>
      <c r="H180" s="111" t="b">
        <v>0</v>
      </c>
      <c r="I180" s="111"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1" t="b">
        <v>0</v>
      </c>
      <c r="H181" s="111" t="b">
        <v>0</v>
      </c>
      <c r="I181" s="111"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1" t="b">
        <v>0</v>
      </c>
      <c r="H182" s="111" t="b">
        <v>0</v>
      </c>
      <c r="I182" s="111"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1" t="b">
        <v>0</v>
      </c>
      <c r="H183" s="111" t="b">
        <v>0</v>
      </c>
      <c r="I183" s="111"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1" t="b">
        <v>0</v>
      </c>
      <c r="H184" s="111" t="b">
        <v>0</v>
      </c>
      <c r="I184" s="111"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1" t="b">
        <v>0</v>
      </c>
      <c r="H185" s="111" t="b">
        <v>0</v>
      </c>
      <c r="I185" s="111"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1" t="b">
        <v>0</v>
      </c>
      <c r="H186" s="111" t="b">
        <v>0</v>
      </c>
      <c r="I186" s="111"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1" t="b">
        <v>0</v>
      </c>
      <c r="H187" s="111" t="b">
        <v>0</v>
      </c>
      <c r="I187" s="111"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1" t="b">
        <v>0</v>
      </c>
      <c r="H188" s="111" t="b">
        <v>0</v>
      </c>
      <c r="I188" s="111"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1" t="b">
        <v>0</v>
      </c>
      <c r="H189" s="111" t="b">
        <v>0</v>
      </c>
      <c r="I189" s="111"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1" t="b">
        <v>0</v>
      </c>
      <c r="H190" s="111" t="b">
        <v>0</v>
      </c>
      <c r="I190" s="111"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1" t="b">
        <v>0</v>
      </c>
      <c r="H191" s="111" t="b">
        <v>0</v>
      </c>
      <c r="I191" s="111"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1" t="b">
        <v>0</v>
      </c>
      <c r="H192" s="111" t="b">
        <v>0</v>
      </c>
      <c r="I192" s="111"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1" t="b">
        <v>0</v>
      </c>
      <c r="H193" s="111" t="b">
        <v>0</v>
      </c>
      <c r="I193" s="111"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1" t="b">
        <v>0</v>
      </c>
      <c r="H194" s="111" t="b">
        <v>0</v>
      </c>
      <c r="I194" s="111"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1" t="b">
        <v>0</v>
      </c>
      <c r="H195" s="111" t="b">
        <v>0</v>
      </c>
      <c r="I195" s="111"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1" t="b">
        <v>0</v>
      </c>
      <c r="H196" s="111" t="b">
        <v>0</v>
      </c>
      <c r="I196" s="111"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1" t="b">
        <v>0</v>
      </c>
      <c r="H197" s="111" t="b">
        <v>0</v>
      </c>
      <c r="I197" s="111"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1" t="b">
        <v>0</v>
      </c>
      <c r="H198" s="111" t="b">
        <v>0</v>
      </c>
      <c r="I198" s="111"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1" t="b">
        <v>0</v>
      </c>
      <c r="H199" s="111" t="b">
        <v>0</v>
      </c>
      <c r="I199" s="111"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1" t="b">
        <v>0</v>
      </c>
      <c r="H200" s="111" t="b">
        <v>0</v>
      </c>
      <c r="I200" s="111"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1" t="b">
        <v>0</v>
      </c>
      <c r="H201" s="111" t="b">
        <v>0</v>
      </c>
      <c r="I201" s="111"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1" t="b">
        <v>0</v>
      </c>
      <c r="H202" s="111" t="b">
        <v>0</v>
      </c>
      <c r="I202" s="111"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1" t="b">
        <v>0</v>
      </c>
      <c r="H203" s="111" t="b">
        <v>0</v>
      </c>
      <c r="I203" s="111"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1" t="b">
        <v>0</v>
      </c>
      <c r="H204" s="111" t="b">
        <v>0</v>
      </c>
      <c r="I204" s="111"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1" t="b">
        <v>0</v>
      </c>
      <c r="H205" s="111" t="b">
        <v>0</v>
      </c>
      <c r="I205" s="111"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1" t="b">
        <v>0</v>
      </c>
      <c r="H206" s="111" t="b">
        <v>0</v>
      </c>
      <c r="I206" s="111"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1" t="b">
        <v>0</v>
      </c>
      <c r="H207" s="111" t="b">
        <v>0</v>
      </c>
      <c r="I207" s="111"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1" t="b">
        <v>0</v>
      </c>
      <c r="H208" s="111" t="b">
        <v>0</v>
      </c>
      <c r="I208" s="111"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1" t="b">
        <v>0</v>
      </c>
      <c r="H209" s="111" t="b">
        <v>0</v>
      </c>
      <c r="I209" s="111"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1" t="b">
        <v>0</v>
      </c>
      <c r="H210" s="111" t="b">
        <v>0</v>
      </c>
      <c r="I210" s="111"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1" t="b">
        <v>0</v>
      </c>
      <c r="H211" s="111" t="b">
        <v>0</v>
      </c>
      <c r="I211" s="111"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1" t="b">
        <v>0</v>
      </c>
      <c r="H212" s="111" t="b">
        <v>0</v>
      </c>
      <c r="I212" s="111"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1" t="b">
        <v>0</v>
      </c>
      <c r="H213" s="111" t="b">
        <v>0</v>
      </c>
      <c r="I213" s="111"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1" t="b">
        <v>0</v>
      </c>
      <c r="H214" s="111" t="b">
        <v>0</v>
      </c>
      <c r="I214" s="111"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1" t="b">
        <v>0</v>
      </c>
      <c r="H215" s="111" t="b">
        <v>0</v>
      </c>
      <c r="I215" s="111"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1" t="b">
        <v>0</v>
      </c>
      <c r="H216" s="111" t="b">
        <v>0</v>
      </c>
      <c r="I216" s="111"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1" t="b">
        <v>0</v>
      </c>
      <c r="H217" s="111" t="b">
        <v>0</v>
      </c>
      <c r="I217" s="111"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1" t="b">
        <v>0</v>
      </c>
      <c r="H218" s="111" t="b">
        <v>0</v>
      </c>
      <c r="I218" s="111"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1" t="b">
        <v>0</v>
      </c>
      <c r="H219" s="111" t="b">
        <v>0</v>
      </c>
      <c r="I219" s="111"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1" t="b">
        <v>0</v>
      </c>
      <c r="H220" s="111" t="b">
        <v>0</v>
      </c>
      <c r="I220" s="111"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1" t="b">
        <v>0</v>
      </c>
      <c r="H221" s="111" t="b">
        <v>0</v>
      </c>
      <c r="I221" s="111"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1" t="b">
        <v>0</v>
      </c>
      <c r="H222" s="111" t="b">
        <v>0</v>
      </c>
      <c r="I222" s="111"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1" t="b">
        <v>0</v>
      </c>
      <c r="H223" s="111" t="b">
        <v>0</v>
      </c>
      <c r="I223" s="111"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1" t="b">
        <v>0</v>
      </c>
      <c r="H224" s="111" t="b">
        <v>0</v>
      </c>
      <c r="I224" s="111"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1" t="b">
        <v>0</v>
      </c>
      <c r="H225" s="111" t="b">
        <v>0</v>
      </c>
      <c r="I225" s="111"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1" t="b">
        <v>0</v>
      </c>
      <c r="H226" s="111" t="b">
        <v>0</v>
      </c>
      <c r="I226" s="111"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1" t="b">
        <v>0</v>
      </c>
      <c r="H227" s="111" t="b">
        <v>0</v>
      </c>
      <c r="I227" s="111"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1" t="b">
        <v>0</v>
      </c>
      <c r="H228" s="111" t="b">
        <v>0</v>
      </c>
      <c r="I228" s="111"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1" t="b">
        <v>0</v>
      </c>
      <c r="H229" s="111" t="b">
        <v>0</v>
      </c>
      <c r="I229" s="111"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260</v>
      </c>
      <c r="B1" s="38" t="s">
        <v>261</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262</v>
      </c>
      <c r="B1" s="14" t="s">
        <v>263</v>
      </c>
    </row>
    <row r="2">
      <c r="A2" s="14" t="s">
        <v>264</v>
      </c>
      <c r="B2" s="14" t="s">
        <v>265</v>
      </c>
    </row>
    <row r="3">
      <c r="A3" s="14" t="s">
        <v>266</v>
      </c>
      <c r="B3" s="14" t="s">
        <v>267</v>
      </c>
    </row>
    <row r="4">
      <c r="A4" s="14" t="s">
        <v>268</v>
      </c>
      <c r="B4" s="14" t="s">
        <v>269</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270</v>
      </c>
      <c r="B1" s="16" t="s">
        <v>183</v>
      </c>
      <c r="C1" s="16" t="s">
        <v>271</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2" t="str">
        <f>IFERROR(__xludf.DUMMYFUNCTION("IMPORTRANGE(""https://docs.google.com/spreadsheets/d/""&amp;Config!B1,""Factions!A:AX"")"),"Faction")</f>
        <v>Faction</v>
      </c>
      <c r="B1" s="92" t="str">
        <f>IFERROR(__xludf.DUMMYFUNCTION("""COMPUTED_VALUE"""),"Faction Description")</f>
        <v>Faction Description</v>
      </c>
      <c r="C1" s="92" t="str">
        <f>IFERROR(__xludf.DUMMYFUNCTION("""COMPUTED_VALUE"""),"Faction Ability 1")</f>
        <v>Faction Ability 1</v>
      </c>
      <c r="D1" s="92" t="str">
        <f>IFERROR(__xludf.DUMMYFUNCTION("""COMPUTED_VALUE"""),"Ability Description 1")</f>
        <v>Ability Description 1</v>
      </c>
      <c r="E1" s="92"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2" t="str">
        <f>IFERROR(__xludf.DUMMYFUNCTION("""COMPUTED_VALUE"""),"The Heroes of Spira")</f>
        <v>The Heroes of Spira</v>
      </c>
      <c r="B2" s="113"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2" t="str">
        <f>IFERROR(__xludf.DUMMYFUNCTION("""COMPUTED_VALUE"""),"Extra Treasure")</f>
        <v>Extra Treasure</v>
      </c>
      <c r="D2" s="114" t="str">
        <f>IFERROR(__xludf.DUMMYFUNCTION("""COMPUTED_VALUE"""),"When rolling for loot Double what you get from your first roll for Mob loot.")</f>
        <v>When rolling for loot Double what you get from your first roll for Mob loot.</v>
      </c>
      <c r="E2" s="114"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2" t="str">
        <f>IFERROR(__xludf.DUMMYFUNCTION("""COMPUTED_VALUE"""),"The Cult of Dreadful")</f>
        <v>The Cult of Dreadful</v>
      </c>
      <c r="B3" s="113"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2" t="str">
        <f>IFERROR(__xludf.DUMMYFUNCTION("""COMPUTED_VALUE"""),"Lesser Pain")</f>
        <v>Lesser Pain</v>
      </c>
      <c r="D3" s="114" t="str">
        <f>IFERROR(__xludf.DUMMYFUNCTION("""COMPUTED_VALUE"""),"Half the HP costs for Blood Spells, and Half the SP costs for Dark, Chaos, and Voodoo Spells.")</f>
        <v>Half the HP costs for Blood Spells, and Half the SP costs for Dark, Chaos, and Voodoo Spells.</v>
      </c>
      <c r="E3" s="114"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2" t="str">
        <f>IFERROR(__xludf.DUMMYFUNCTION("""COMPUTED_VALUE"""),"The Storm Shamans")</f>
        <v>The Storm Shamans</v>
      </c>
      <c r="B4" s="113"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2" t="str">
        <f>IFERROR(__xludf.DUMMYFUNCTION("""COMPUTED_VALUE"""),"Storming Vengeance ")</f>
        <v>Storming Vengeance </v>
      </c>
      <c r="D4" s="114" t="str">
        <f>IFERROR(__xludf.DUMMYFUNCTION("""COMPUTED_VALUE"""),"+5 evasion and mobility if the weather is stormy.")</f>
        <v>+5 evasion and mobility if the weather is stormy.</v>
      </c>
      <c r="E4" s="114"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2" t="str">
        <f>IFERROR(__xludf.DUMMYFUNCTION("""COMPUTED_VALUE"""),"The Graceful Defenders")</f>
        <v>The Graceful Defenders</v>
      </c>
      <c r="B5" s="113"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2" t="str">
        <f>IFERROR(__xludf.DUMMYFUNCTION("""COMPUTED_VALUE"""),"Defending Bond")</f>
        <v>Defending Bond</v>
      </c>
      <c r="D5" s="114"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4"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2" t="str">
        <f>IFERROR(__xludf.DUMMYFUNCTION("""COMPUTED_VALUE"""),"The Guardians of The Forge")</f>
        <v>The Guardians of The Forge</v>
      </c>
      <c r="B6" s="113"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2" t="str">
        <f>IFERROR(__xludf.DUMMYFUNCTION("""COMPUTED_VALUE"""),"Burning Might")</f>
        <v>Burning Might</v>
      </c>
      <c r="D6" s="114" t="str">
        <f>IFERROR(__xludf.DUMMYFUNCTION("""COMPUTED_VALUE"""),"Burn damage dealt to enemies is doubled.")</f>
        <v>Burn damage dealt to enemies is doubled.</v>
      </c>
      <c r="E6" s="114"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2" t="str">
        <f>IFERROR(__xludf.DUMMYFUNCTION("""COMPUTED_VALUE"""),"The Soul Shepherds")</f>
        <v>The Soul Shepherds</v>
      </c>
      <c r="B7" s="113"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2" t="str">
        <f>IFERROR(__xludf.DUMMYFUNCTION("""COMPUTED_VALUE"""),"Soul Harvest")</f>
        <v>Soul Harvest</v>
      </c>
      <c r="D7" s="114" t="str">
        <f>IFERROR(__xludf.DUMMYFUNCTION("""COMPUTED_VALUE"""),"When rolling for loot and you get a soul, you get 2 of that same soul.")</f>
        <v>When rolling for loot and you get a soul, you get 2 of that same soul.</v>
      </c>
      <c r="E7" s="114"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2" t="str">
        <f>IFERROR(__xludf.DUMMYFUNCTION("""COMPUTED_VALUE"""),"The Judges of Abstara")</f>
        <v>The Judges of Abstara</v>
      </c>
      <c r="B8" s="113"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2" t="str">
        <f>IFERROR(__xludf.DUMMYFUNCTION("""COMPUTED_VALUE"""),"Threatening Stare")</f>
        <v>Threatening Stare</v>
      </c>
      <c r="D8" s="114" t="str">
        <f>IFERROR(__xludf.DUMMYFUNCTION("""COMPUTED_VALUE"""),"+5 permanent Intimidation.")</f>
        <v>+5 permanent Intimidation.</v>
      </c>
      <c r="E8" s="114"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2" t="str">
        <f>IFERROR(__xludf.DUMMYFUNCTION("""COMPUTED_VALUE"""),"The Gods of The Sea")</f>
        <v>The Gods of The Sea</v>
      </c>
      <c r="B9" s="113"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2" t="str">
        <f>IFERROR(__xludf.DUMMYFUNCTION("""COMPUTED_VALUE"""),"Healing Fountain")</f>
        <v>Healing Fountain</v>
      </c>
      <c r="D9" s="114" t="str">
        <f>IFERROR(__xludf.DUMMYFUNCTION("""COMPUTED_VALUE"""),"When dealing water damage to an enemy, Your HP and SP will be restored equal to 0.5% of the damage dealt ")</f>
        <v>When dealing water damage to an enemy, Your HP and SP will be restored equal to 0.5% of the damage dealt </v>
      </c>
      <c r="E9" s="114"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2" t="str">
        <f>IFERROR(__xludf.DUMMYFUNCTION("""COMPUTED_VALUE"""),"The God's Quiver")</f>
        <v>The God's Quiver</v>
      </c>
      <c r="B10" s="113"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2" t="str">
        <f>IFERROR(__xludf.DUMMYFUNCTION("""COMPUTED_VALUE"""),"Natures Blessing")</f>
        <v>Natures Blessing</v>
      </c>
      <c r="D10" s="114" t="str">
        <f>IFERROR(__xludf.DUMMYFUNCTION("""COMPUTED_VALUE"""),"When dealing nature damage to an enemy, Your HP and SP will be restored equal to half of the damage dealt ")</f>
        <v>When dealing nature damage to an enemy, Your HP and SP will be restored equal to half of the damage dealt </v>
      </c>
      <c r="E10" s="114"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2" t="str">
        <f>IFERROR(__xludf.DUMMYFUNCTION("""COMPUTED_VALUE"""),"The Exiled Ones")</f>
        <v>The Exiled Ones</v>
      </c>
      <c r="B11" s="113"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2" t="str">
        <f>IFERROR(__xludf.DUMMYFUNCTION("""COMPUTED_VALUE"""),"Panic")</f>
        <v>Panic</v>
      </c>
      <c r="D11" s="114" t="str">
        <f>IFERROR(__xludf.DUMMYFUNCTION("""COMPUTED_VALUE"""),"When adventuring alone or partaking in a party with 3 or less party members, your fleeing rolls are doubled.")</f>
        <v>When adventuring alone or partaking in a party with 3 or less party members, your fleeing rolls are doubled.</v>
      </c>
      <c r="E11" s="114"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2" t="str">
        <f>IFERROR(__xludf.DUMMYFUNCTION("""COMPUTED_VALUE"""),"The Astrologist's")</f>
        <v>The Astrologist's</v>
      </c>
      <c r="B12" s="113"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2" t="str">
        <f>IFERROR(__xludf.DUMMYFUNCTION("""COMPUTED_VALUE"""),"The Universe of Spira")</f>
        <v>The Universe of Spira</v>
      </c>
      <c r="D12" s="114" t="str">
        <f>IFERROR(__xludf.DUMMYFUNCTION("""COMPUTED_VALUE"""),"Astral Spell/Power Attacks will also deal X Celestial damage where X is equal to your accuracy.")</f>
        <v>Astral Spell/Power Attacks will also deal X Celestial damage where X is equal to your accuracy.</v>
      </c>
      <c r="E12" s="114"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2" t="str">
        <f>IFERROR(__xludf.DUMMYFUNCTION("""COMPUTED_VALUE"""),"The Choir of Dionysus")</f>
        <v>The Choir of Dionysus</v>
      </c>
      <c r="B13" s="113"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2" t="str">
        <f>IFERROR(__xludf.DUMMYFUNCTION("""COMPUTED_VALUE"""),"Preaching to the Choir")</f>
        <v>Preaching to the Choir</v>
      </c>
      <c r="D13" s="114" t="str">
        <f>IFERROR(__xludf.DUMMYFUNCTION("""COMPUTED_VALUE"""),"Buffs targetting an ally or self are guaranteed to succeed")</f>
        <v>Buffs targetting an ally or self are guaranteed to succeed</v>
      </c>
      <c r="E13" s="114"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2" t="str">
        <f>IFERROR(__xludf.DUMMYFUNCTION("""COMPUTED_VALUE"""),"The Abbott's")</f>
        <v>The Abbott's</v>
      </c>
      <c r="B14" s="113"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2" t="str">
        <f>IFERROR(__xludf.DUMMYFUNCTION("""COMPUTED_VALUE"""),"Elemental Chi")</f>
        <v>Elemental Chi</v>
      </c>
      <c r="D14" s="114" t="str">
        <f>IFERROR(__xludf.DUMMYFUNCTION("""COMPUTED_VALUE"""),"Take half damage from Fire, Water, Storm, Earth, and Nature.")</f>
        <v>Take half damage from Fire, Water, Storm, Earth, and Nature.</v>
      </c>
      <c r="E14" s="114"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2" t="str">
        <f>IFERROR(__xludf.DUMMYFUNCTION("""COMPUTED_VALUE"""),"Harbingers of The Voidwoken")</f>
        <v>Harbingers of The Voidwoken</v>
      </c>
      <c r="B15" s="113"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2" t="str">
        <f>IFERROR(__xludf.DUMMYFUNCTION("""COMPUTED_VALUE"""),"Harbinger's Bloodlust")</f>
        <v>Harbinger's Bloodlust</v>
      </c>
      <c r="D15" s="114"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4"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2"/>
      <c r="B16" s="112"/>
      <c r="C16" s="112"/>
      <c r="D16" s="112"/>
      <c r="E16" s="112"/>
      <c r="F16" s="16"/>
      <c r="G16" s="16"/>
      <c r="H16" s="16"/>
      <c r="I16" s="16"/>
      <c r="J16" s="16"/>
      <c r="K16" s="16"/>
      <c r="L16" s="16"/>
      <c r="M16" s="16"/>
      <c r="N16" s="16"/>
      <c r="O16" s="16"/>
      <c r="P16" s="16"/>
      <c r="Q16" s="16"/>
      <c r="R16" s="16"/>
      <c r="S16" s="16"/>
      <c r="T16" s="16"/>
      <c r="U16" s="16"/>
      <c r="V16" s="16"/>
      <c r="W16" s="16"/>
      <c r="X16" s="16"/>
      <c r="Y16" s="16"/>
      <c r="Z16" s="16"/>
    </row>
    <row r="17">
      <c r="A17" s="112"/>
      <c r="B17" s="112"/>
      <c r="C17" s="112"/>
      <c r="D17" s="112"/>
      <c r="E17" s="112"/>
      <c r="F17" s="16"/>
      <c r="G17" s="16"/>
      <c r="H17" s="16"/>
      <c r="I17" s="16"/>
      <c r="J17" s="16"/>
      <c r="K17" s="16"/>
      <c r="L17" s="16"/>
      <c r="M17" s="16"/>
      <c r="N17" s="16"/>
      <c r="O17" s="16"/>
      <c r="P17" s="16"/>
      <c r="Q17" s="16"/>
      <c r="R17" s="16"/>
      <c r="S17" s="16"/>
      <c r="T17" s="16"/>
      <c r="U17" s="16"/>
      <c r="V17" s="16"/>
      <c r="W17" s="16"/>
      <c r="X17" s="16"/>
      <c r="Y17" s="16"/>
      <c r="Z17" s="16"/>
    </row>
    <row r="18">
      <c r="A18" s="112"/>
      <c r="B18" s="112"/>
      <c r="C18" s="112"/>
      <c r="D18" s="112"/>
      <c r="E18" s="112"/>
      <c r="F18" s="16"/>
      <c r="G18" s="16"/>
      <c r="H18" s="16"/>
      <c r="I18" s="16"/>
      <c r="J18" s="16"/>
      <c r="K18" s="16"/>
      <c r="L18" s="16"/>
      <c r="M18" s="16"/>
      <c r="N18" s="16"/>
      <c r="O18" s="16"/>
      <c r="P18" s="16"/>
      <c r="Q18" s="16"/>
      <c r="R18" s="16"/>
      <c r="S18" s="16"/>
      <c r="T18" s="16"/>
      <c r="U18" s="16"/>
      <c r="V18" s="16"/>
      <c r="W18" s="16"/>
      <c r="X18" s="16"/>
      <c r="Y18" s="16"/>
      <c r="Z18" s="16"/>
    </row>
    <row r="19">
      <c r="A19" s="112"/>
      <c r="B19" s="112"/>
      <c r="C19" s="112"/>
      <c r="D19" s="112"/>
      <c r="E19" s="112"/>
      <c r="F19" s="16"/>
      <c r="G19" s="16"/>
      <c r="H19" s="16"/>
      <c r="I19" s="16"/>
      <c r="J19" s="16"/>
      <c r="K19" s="16"/>
      <c r="L19" s="16"/>
      <c r="M19" s="16"/>
      <c r="N19" s="16"/>
      <c r="O19" s="16"/>
      <c r="P19" s="16"/>
      <c r="Q19" s="16"/>
      <c r="R19" s="16"/>
      <c r="S19" s="16"/>
      <c r="T19" s="16"/>
      <c r="U19" s="16"/>
      <c r="V19" s="16"/>
      <c r="W19" s="16"/>
      <c r="X19" s="16"/>
      <c r="Y19" s="16"/>
      <c r="Z19" s="16"/>
    </row>
    <row r="20">
      <c r="A20" s="112"/>
      <c r="B20" s="112"/>
      <c r="C20" s="112"/>
      <c r="D20" s="112"/>
      <c r="E20" s="112"/>
      <c r="F20" s="16"/>
      <c r="G20" s="16"/>
      <c r="H20" s="16"/>
      <c r="I20" s="16"/>
      <c r="J20" s="16"/>
      <c r="K20" s="16"/>
      <c r="L20" s="16"/>
      <c r="M20" s="16"/>
      <c r="N20" s="16"/>
      <c r="O20" s="16"/>
      <c r="P20" s="16"/>
      <c r="Q20" s="16"/>
      <c r="R20" s="16"/>
      <c r="S20" s="16"/>
      <c r="T20" s="16"/>
      <c r="U20" s="16"/>
      <c r="V20" s="16"/>
      <c r="W20" s="16"/>
      <c r="X20" s="16"/>
      <c r="Y20" s="16"/>
      <c r="Z20" s="16"/>
    </row>
    <row r="21">
      <c r="A21" s="112"/>
      <c r="B21" s="112"/>
      <c r="C21" s="112"/>
      <c r="D21" s="112"/>
      <c r="E21" s="112"/>
      <c r="F21" s="16"/>
      <c r="G21" s="16"/>
      <c r="H21" s="16"/>
      <c r="I21" s="16"/>
      <c r="J21" s="16"/>
      <c r="K21" s="16"/>
      <c r="L21" s="16"/>
      <c r="M21" s="16"/>
      <c r="N21" s="16"/>
      <c r="O21" s="16"/>
      <c r="P21" s="16"/>
      <c r="Q21" s="16"/>
      <c r="R21" s="16"/>
      <c r="S21" s="16"/>
      <c r="T21" s="16"/>
      <c r="U21" s="16"/>
      <c r="V21" s="16"/>
      <c r="W21" s="16"/>
      <c r="X21" s="16"/>
      <c r="Y21" s="16"/>
      <c r="Z21" s="16"/>
    </row>
    <row r="22">
      <c r="A22" s="112"/>
      <c r="B22" s="112"/>
      <c r="C22" s="112"/>
      <c r="D22" s="112"/>
      <c r="E22" s="112"/>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IFERROR(__xludf.DUMMYFUNCTION("IMPORTRANGE(""https://docs.google.com/spreadsheets/d/""&amp;Config!B1,""Curses!A:AX"")"),"Name")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IFERROR(__xludf.DUMMYFUNCTION("IMPORTRANGE(""https://docs.google.com/spreadsheets/d/""&amp;Config!B1,""Diseases!A:AX"")"),"Name")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5">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6"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7"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7">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7">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7">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7">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7">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7">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7">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7">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7">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7">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7">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7">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7">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7">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7">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7">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7">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7">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7">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7">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7">
        <f>IFERROR(__xludf.DUMMYFUNCTION("""COMPUTED_VALUE"""),9.0)</f>
        <v>9</v>
      </c>
      <c r="C22" s="1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7">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7">
        <f>IFERROR(__xludf.DUMMYFUNCTION("""COMPUTED_VALUE"""),9.0)</f>
        <v>9</v>
      </c>
      <c r="C24" s="116">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7">
        <f>IFERROR(__xludf.DUMMYFUNCTION("""COMPUTED_VALUE"""),9.0)</f>
        <v>9</v>
      </c>
      <c r="C25" s="116">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7">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7">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7">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7">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7">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7">
        <f>IFERROR(__xludf.DUMMYFUNCTION("""COMPUTED_VALUE"""),9.0)</f>
        <v>9</v>
      </c>
      <c r="C31" s="116">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7">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7">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7">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7">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7">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7">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7">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7">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7">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7">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7">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7">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7">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7">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7">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7">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7">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7">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7">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7">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7">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7">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7">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7">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7">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7">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7">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7">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7">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7">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7">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7">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7">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7">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7">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7">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7">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7">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7">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7">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7">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7">
        <f>IFERROR(__xludf.DUMMYFUNCTION("""COMPUTED_VALUE"""),1.0)</f>
        <v>1</v>
      </c>
      <c r="C73" s="118"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7">
        <f>IFERROR(__xludf.DUMMYFUNCTION("""COMPUTED_VALUE"""),9.0)</f>
        <v>9</v>
      </c>
      <c r="C74" s="116">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7">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7">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7">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7">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7">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7">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7">
        <f>IFERROR(__xludf.DUMMYFUNCTION("""COMPUTED_VALUE"""),9.0)</f>
        <v>9</v>
      </c>
      <c r="C81" s="116">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7">
        <f>IFERROR(__xludf.DUMMYFUNCTION("""COMPUTED_VALUE"""),9.0)</f>
        <v>9</v>
      </c>
      <c r="C82" s="116">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7">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7">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7">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7">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7">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7">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7">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7">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7">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7">
        <f>IFERROR(__xludf.DUMMYFUNCTION("""COMPUTED_VALUE"""),9.0)</f>
        <v>9</v>
      </c>
      <c r="C92" s="116">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7">
        <f>IFERROR(__xludf.DUMMYFUNCTION("""COMPUTED_VALUE"""),9.0)</f>
        <v>9</v>
      </c>
      <c r="C93" s="116">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7">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7">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7">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7">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7">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7">
        <f>IFERROR(__xludf.DUMMYFUNCTION("""COMPUTED_VALUE"""),9.0)</f>
        <v>9</v>
      </c>
      <c r="C99" s="116">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7">
        <f>IFERROR(__xludf.DUMMYFUNCTION("""COMPUTED_VALUE"""),9.0)</f>
        <v>9</v>
      </c>
      <c r="C100" s="116">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7">
        <f>IFERROR(__xludf.DUMMYFUNCTION("""COMPUTED_VALUE"""),9.0)</f>
        <v>9</v>
      </c>
      <c r="C101" s="116">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7">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7">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7">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7">
        <f>IFERROR(__xludf.DUMMYFUNCTION("""COMPUTED_VALUE"""),9.0)</f>
        <v>9</v>
      </c>
      <c r="C105" s="116">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7">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7">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7">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7">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7">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7">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7">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7">
        <f>IFERROR(__xludf.DUMMYFUNCTION("""COMPUTED_VALUE"""),9.0)</f>
        <v>9</v>
      </c>
      <c r="C113" s="116">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7">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7">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7">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7">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7">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7">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7">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7">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7">
        <f>IFERROR(__xludf.DUMMYFUNCTION("""COMPUTED_VALUE"""),9.0)</f>
        <v>9</v>
      </c>
      <c r="C122" s="116">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7">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7">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7">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7">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7">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7">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7">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7">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7">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7">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7">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7">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7">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7">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7">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7">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7">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7">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7">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7">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7">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7">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7">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7">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7">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7">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7">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7">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7">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7">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7">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7">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7">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7">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7">
        <f>IFERROR(__xludf.DUMMYFUNCTION("""COMPUTED_VALUE"""),9.0)</f>
        <v>9</v>
      </c>
      <c r="C158" s="116">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7">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7">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7">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7">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7">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7">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7">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7">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7">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7">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7">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7">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7">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7">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7">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7">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7">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7">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7">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7">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7">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7">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7">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7">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7">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7">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7">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7">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7">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7">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7">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7">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7">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7">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7">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7">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7">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7">
        <f>IFERROR(__xludf.DUMMYFUNCTION("""COMPUTED_VALUE"""),0.0)</f>
        <v>0</v>
      </c>
      <c r="C196" s="116">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7">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7">
        <f>IFERROR(__xludf.DUMMYFUNCTION("""COMPUTED_VALUE"""),0.0)</f>
        <v>0</v>
      </c>
      <c r="C198" s="116">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7">
        <f>IFERROR(__xludf.DUMMYFUNCTION("""COMPUTED_VALUE"""),9.0)</f>
        <v>9</v>
      </c>
      <c r="C199" s="116">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7">
        <f>IFERROR(__xludf.DUMMYFUNCTION("""COMPUTED_VALUE"""),1.0)</f>
        <v>1</v>
      </c>
      <c r="C200" s="116">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7">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7">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7">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7">
        <f>IFERROR(__xludf.DUMMYFUNCTION("""COMPUTED_VALUE"""),1.0)</f>
        <v>1</v>
      </c>
      <c r="C204" s="116">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7">
        <f>IFERROR(__xludf.DUMMYFUNCTION("""COMPUTED_VALUE"""),1.0)</f>
        <v>1</v>
      </c>
      <c r="C205" s="116">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7">
        <f>IFERROR(__xludf.DUMMYFUNCTION("""COMPUTED_VALUE"""),1.0)</f>
        <v>1</v>
      </c>
      <c r="C206" s="116">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7">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7">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7">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7">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7">
        <f>IFERROR(__xludf.DUMMYFUNCTION("""COMPUTED_VALUE"""),1.0)</f>
        <v>1</v>
      </c>
      <c r="C211" s="116">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7">
        <f>IFERROR(__xludf.DUMMYFUNCTION("""COMPUTED_VALUE"""),9.0)</f>
        <v>9</v>
      </c>
      <c r="C212" s="116">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7">
        <f>IFERROR(__xludf.DUMMYFUNCTION("""COMPUTED_VALUE"""),1.0)</f>
        <v>1</v>
      </c>
      <c r="C213" s="116">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7">
        <f>IFERROR(__xludf.DUMMYFUNCTION("""COMPUTED_VALUE"""),1.0)</f>
        <v>1</v>
      </c>
      <c r="C214" s="116">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7">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7">
        <f>IFERROR(__xludf.DUMMYFUNCTION("""COMPUTED_VALUE"""),1.0)</f>
        <v>1</v>
      </c>
      <c r="C216" s="116">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7">
        <f>IFERROR(__xludf.DUMMYFUNCTION("""COMPUTED_VALUE"""),1.0)</f>
        <v>1</v>
      </c>
      <c r="C217" s="116">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7">
        <f>IFERROR(__xludf.DUMMYFUNCTION("""COMPUTED_VALUE"""),9.0)</f>
        <v>9</v>
      </c>
      <c r="C218" s="116">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7">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7">
        <f>IFERROR(__xludf.DUMMYFUNCTION("""COMPUTED_VALUE"""),1.0)</f>
        <v>1</v>
      </c>
      <c r="C220" s="116">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7">
        <f>IFERROR(__xludf.DUMMYFUNCTION("""COMPUTED_VALUE"""),9.0)</f>
        <v>9</v>
      </c>
      <c r="C221" s="116">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7">
        <f>IFERROR(__xludf.DUMMYFUNCTION("""COMPUTED_VALUE"""),1.0)</f>
        <v>1</v>
      </c>
      <c r="C222" s="116">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7">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7">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7">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7">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7">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7">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7">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7">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7">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7">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7">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7">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7">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7">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7">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7">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7">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7">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7">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7">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7">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7">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7">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7">
        <f>IFERROR(__xludf.DUMMYFUNCTION("""COMPUTED_VALUE"""),9.0)</f>
        <v>9</v>
      </c>
      <c r="C246" s="118"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7">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7">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7">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7">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7">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7">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7">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7">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7">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7">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7">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7">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7">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7">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7">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7">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7">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7">
        <f>IFERROR(__xludf.DUMMYFUNCTION("""COMPUTED_VALUE"""),9.0)</f>
        <v>9</v>
      </c>
      <c r="C264" s="116">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7">
        <f>IFERROR(__xludf.DUMMYFUNCTION("""COMPUTED_VALUE"""),9.0)</f>
        <v>9</v>
      </c>
      <c r="C265" s="116">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7">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7">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7">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7">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7">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7">
        <f>IFERROR(__xludf.DUMMYFUNCTION("""COMPUTED_VALUE"""),9.0)</f>
        <v>9</v>
      </c>
      <c r="C272" s="116">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7">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7">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7">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7">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7">
        <f>IFERROR(__xludf.DUMMYFUNCTION("""COMPUTED_VALUE"""),1.0)</f>
        <v>1</v>
      </c>
      <c r="C277" s="116">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7">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7">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7">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7">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7">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7">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7">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7">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7">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7">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7">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7">
        <f>IFERROR(__xludf.DUMMYFUNCTION("""COMPUTED_VALUE"""),1.0)</f>
        <v>1</v>
      </c>
      <c r="C289" s="116">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7">
        <f>IFERROR(__xludf.DUMMYFUNCTION("""COMPUTED_VALUE"""),9.0)</f>
        <v>9</v>
      </c>
      <c r="C290" s="116">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7">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7">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7">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7">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7">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7">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7">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7">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7">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7">
        <f>IFERROR(__xludf.DUMMYFUNCTION("""COMPUTED_VALUE"""),4.0)</f>
        <v>4</v>
      </c>
      <c r="C300" s="116">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7">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7">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7">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7">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7">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7">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7">
        <f>IFERROR(__xludf.DUMMYFUNCTION("""COMPUTED_VALUE"""),9.0)</f>
        <v>9</v>
      </c>
      <c r="C307" s="116">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7">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7">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7">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7">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7">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7">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7">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7">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7">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7">
        <f>IFERROR(__xludf.DUMMYFUNCTION("""COMPUTED_VALUE"""),1.0)</f>
        <v>1</v>
      </c>
      <c r="C317" s="116">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7">
        <f>IFERROR(__xludf.DUMMYFUNCTION("""COMPUTED_VALUE"""),1.0)</f>
        <v>1</v>
      </c>
      <c r="C318" s="116">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7">
        <f>IFERROR(__xludf.DUMMYFUNCTION("""COMPUTED_VALUE"""),1.0)</f>
        <v>1</v>
      </c>
      <c r="C319" s="116">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7">
        <f>IFERROR(__xludf.DUMMYFUNCTION("""COMPUTED_VALUE"""),1.0)</f>
        <v>1</v>
      </c>
      <c r="C320" s="116">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7">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7">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7">
        <f>IFERROR(__xludf.DUMMYFUNCTION("""COMPUTED_VALUE"""),1.0)</f>
        <v>1</v>
      </c>
      <c r="C323" s="116">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7">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7">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7">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7">
        <f>IFERROR(__xludf.DUMMYFUNCTION("""COMPUTED_VALUE"""),1.0)</f>
        <v>1</v>
      </c>
      <c r="C327" s="116">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7">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7">
        <f>IFERROR(__xludf.DUMMYFUNCTION("""COMPUTED_VALUE"""),1.0)</f>
        <v>1</v>
      </c>
      <c r="C329" s="116">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7">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7">
        <f>IFERROR(__xludf.DUMMYFUNCTION("""COMPUTED_VALUE"""),1.0)</f>
        <v>1</v>
      </c>
      <c r="C331" s="116">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7">
        <f>IFERROR(__xludf.DUMMYFUNCTION("""COMPUTED_VALUE"""),1.0)</f>
        <v>1</v>
      </c>
      <c r="C332" s="116">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7">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7">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7">
        <f>IFERROR(__xludf.DUMMYFUNCTION("""COMPUTED_VALUE"""),1.0)</f>
        <v>1</v>
      </c>
      <c r="C335" s="116">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7">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7">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7">
        <f>IFERROR(__xludf.DUMMYFUNCTION("""COMPUTED_VALUE"""),1.0)</f>
        <v>1</v>
      </c>
      <c r="C338" s="116">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7">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7">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7">
        <f>IFERROR(__xludf.DUMMYFUNCTION("""COMPUTED_VALUE"""),1.0)</f>
        <v>1</v>
      </c>
      <c r="C341" s="116">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7">
        <f>IFERROR(__xludf.DUMMYFUNCTION("""COMPUTED_VALUE"""),1.0)</f>
        <v>1</v>
      </c>
      <c r="C342" s="116">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7">
        <f>IFERROR(__xludf.DUMMYFUNCTION("""COMPUTED_VALUE"""),1.0)</f>
        <v>1</v>
      </c>
      <c r="C343" s="116">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7">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7">
        <f>IFERROR(__xludf.DUMMYFUNCTION("""COMPUTED_VALUE"""),9.0)</f>
        <v>9</v>
      </c>
      <c r="C345" s="116">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7">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7">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7">
        <f>IFERROR(__xludf.DUMMYFUNCTION("""COMPUTED_VALUE"""),1.0)</f>
        <v>1</v>
      </c>
      <c r="C348" s="116">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7">
        <f>IFERROR(__xludf.DUMMYFUNCTION("""COMPUTED_VALUE"""),1.0)</f>
        <v>1</v>
      </c>
      <c r="C349" s="116">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7">
        <f>IFERROR(__xludf.DUMMYFUNCTION("""COMPUTED_VALUE"""),1.0)</f>
        <v>1</v>
      </c>
      <c r="C350" s="116">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7">
        <f>IFERROR(__xludf.DUMMYFUNCTION("""COMPUTED_VALUE"""),1.0)</f>
        <v>1</v>
      </c>
      <c r="C351" s="116">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7">
        <f>IFERROR(__xludf.DUMMYFUNCTION("""COMPUTED_VALUE"""),1.0)</f>
        <v>1</v>
      </c>
      <c r="C352" s="116">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7">
        <f>IFERROR(__xludf.DUMMYFUNCTION("""COMPUTED_VALUE"""),1.0)</f>
        <v>1</v>
      </c>
      <c r="C353" s="116">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7">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7">
        <f>IFERROR(__xludf.DUMMYFUNCTION("""COMPUTED_VALUE"""),1.0)</f>
        <v>1</v>
      </c>
      <c r="C355" s="116">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7">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7">
        <f>IFERROR(__xludf.DUMMYFUNCTION("""COMPUTED_VALUE"""),1.0)</f>
        <v>1</v>
      </c>
      <c r="C357" s="116">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7">
        <f>IFERROR(__xludf.DUMMYFUNCTION("""COMPUTED_VALUE"""),1.0)</f>
        <v>1</v>
      </c>
      <c r="C358" s="116">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7">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7">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7">
        <f>IFERROR(__xludf.DUMMYFUNCTION("""COMPUTED_VALUE"""),1.0)</f>
        <v>1</v>
      </c>
      <c r="C361" s="116">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7">
        <f>IFERROR(__xludf.DUMMYFUNCTION("""COMPUTED_VALUE"""),1.0)</f>
        <v>1</v>
      </c>
      <c r="C362" s="116">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7">
        <f>IFERROR(__xludf.DUMMYFUNCTION("""COMPUTED_VALUE"""),1.0)</f>
        <v>1</v>
      </c>
      <c r="C363" s="116">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7">
        <f>IFERROR(__xludf.DUMMYFUNCTION("""COMPUTED_VALUE"""),9.0)</f>
        <v>9</v>
      </c>
      <c r="C364" s="116">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7">
        <f>IFERROR(__xludf.DUMMYFUNCTION("""COMPUTED_VALUE"""),9.0)</f>
        <v>9</v>
      </c>
      <c r="C365" s="116">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7">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7">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7">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7">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7">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7">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7">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7">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7">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7">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7">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7">
        <f>IFERROR(__xludf.DUMMYFUNCTION("""COMPUTED_VALUE"""),9.0)</f>
        <v>9</v>
      </c>
      <c r="C377" s="116">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7">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7">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7">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7">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7">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7">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7">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7">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7">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7">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7">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7">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7">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7">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7">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7">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7">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7">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7">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7">
        <f>IFERROR(__xludf.DUMMYFUNCTION("""COMPUTED_VALUE"""),1.0)</f>
        <v>1</v>
      </c>
      <c r="C397" s="116">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7">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7">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7">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7">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7">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7">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7">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7">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7">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7">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7">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7">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7">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7">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7">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7">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7">
        <f>IFERROR(__xludf.DUMMYFUNCTION("""COMPUTED_VALUE"""),9.0)</f>
        <v>9</v>
      </c>
      <c r="C414" s="116">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7">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7">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7">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7">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7">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7">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7">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7">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7">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7">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7">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7">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7">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7">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7">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7">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7">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7">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7">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7">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7">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7">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7">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7">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7">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7">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7">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7">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7">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7">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7">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7">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7">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7">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7">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7">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7">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7">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7">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7">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7">
        <f>IFERROR(__xludf.DUMMYFUNCTION("""COMPUTED_VALUE"""),9.0)</f>
        <v>9</v>
      </c>
      <c r="C455" s="116">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7">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7">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7">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7">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7">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7">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7">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7">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7">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7">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7">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7">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7">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7">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7">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7">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7">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7">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7">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7">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7">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7">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7">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7">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7">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7">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7">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7">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7">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7">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7">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7">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7">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7">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7">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7">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7">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7">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7">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7">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7">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7">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7">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7">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7">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7">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7">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7">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7">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7">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7">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7">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7">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7">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7">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7">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7">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7">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7">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7">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7">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7">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7">
        <f>IFERROR(__xludf.DUMMYFUNCTION("""COMPUTED_VALUE"""),1.0)</f>
        <v>1</v>
      </c>
      <c r="C518" s="116">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7">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7">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7">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7">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7">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7">
        <f>IFERROR(__xludf.DUMMYFUNCTION("""COMPUTED_VALUE"""),9.0)</f>
        <v>9</v>
      </c>
      <c r="C524" s="116">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7">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7">
        <f>IFERROR(__xludf.DUMMYFUNCTION("""COMPUTED_VALUE"""),9.0)</f>
        <v>9</v>
      </c>
      <c r="C526" s="116">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7">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7">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7">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7">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7">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7">
        <f>IFERROR(__xludf.DUMMYFUNCTION("""COMPUTED_VALUE"""),9.0)</f>
        <v>9</v>
      </c>
      <c r="C532" s="116">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7">
        <f>IFERROR(__xludf.DUMMYFUNCTION("""COMPUTED_VALUE"""),9.0)</f>
        <v>9</v>
      </c>
      <c r="C533" s="116">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7">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7">
        <f>IFERROR(__xludf.DUMMYFUNCTION("""COMPUTED_VALUE"""),1.0)</f>
        <v>1</v>
      </c>
      <c r="C535" s="116">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7">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7">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7">
        <f>IFERROR(__xludf.DUMMYFUNCTION("""COMPUTED_VALUE"""),9.0)</f>
        <v>9</v>
      </c>
      <c r="C538" s="116">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7">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7">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7">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7">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7">
        <f>IFERROR(__xludf.DUMMYFUNCTION("""COMPUTED_VALUE"""),9.0)</f>
        <v>9</v>
      </c>
      <c r="C543" s="116">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7">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7">
        <f>IFERROR(__xludf.DUMMYFUNCTION("""COMPUTED_VALUE"""),1.0)</f>
        <v>1</v>
      </c>
      <c r="C545" s="116">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7">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7">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7">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7">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7">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7">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7">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7">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7">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7">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7">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7">
        <f>IFERROR(__xludf.DUMMYFUNCTION("""COMPUTED_VALUE"""),9.0)</f>
        <v>9</v>
      </c>
      <c r="C557" s="116">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7">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7">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7">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7">
        <f>IFERROR(__xludf.DUMMYFUNCTION("""COMPUTED_VALUE"""),9.0)</f>
        <v>9</v>
      </c>
      <c r="C561" s="116">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7">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7">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7">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7">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7">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7">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7">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7">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7">
        <f>IFERROR(__xludf.DUMMYFUNCTION("""COMPUTED_VALUE"""),1.0)</f>
        <v>1</v>
      </c>
      <c r="C570" s="116">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6">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6">
        <f>IFERROR(__xludf.DUMMYFUNCTION("""COMPUTED_VALUE"""),2500.0)</f>
        <v>2500</v>
      </c>
      <c r="I3" s="116">
        <f>IFERROR(__xludf.DUMMYFUNCTION("""COMPUTED_VALUE"""),2500.0)</f>
        <v>2500</v>
      </c>
      <c r="J3" s="16"/>
      <c r="K3" s="16"/>
      <c r="L3" s="16"/>
      <c r="M3" s="16"/>
      <c r="N3" s="16"/>
      <c r="O3" s="116">
        <f>IFERROR(__xludf.DUMMYFUNCTION("""COMPUTED_VALUE"""),2500.0)</f>
        <v>2500</v>
      </c>
      <c r="P3" s="16"/>
      <c r="Q3" s="16"/>
      <c r="R3" s="116">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6">
        <f>IFERROR(__xludf.DUMMYFUNCTION("""COMPUTED_VALUE"""),100000.0)</f>
        <v>100000</v>
      </c>
      <c r="I4" s="16"/>
      <c r="J4" s="16"/>
      <c r="K4" s="16"/>
      <c r="L4" s="16"/>
      <c r="M4" s="16"/>
      <c r="N4" s="16"/>
      <c r="O4" s="116">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6">
        <f>IFERROR(__xludf.DUMMYFUNCTION("""COMPUTED_VALUE"""),10000.0)</f>
        <v>10000</v>
      </c>
      <c r="I6" s="116">
        <f>IFERROR(__xludf.DUMMYFUNCTION("""COMPUTED_VALUE"""),10000.0)</f>
        <v>10000</v>
      </c>
      <c r="J6" s="16"/>
      <c r="K6" s="16"/>
      <c r="L6" s="16"/>
      <c r="M6" s="16"/>
      <c r="N6" s="116">
        <f>IFERROR(__xludf.DUMMYFUNCTION("""COMPUTED_VALUE"""),10000.0)</f>
        <v>10000</v>
      </c>
      <c r="O6" s="16"/>
      <c r="P6" s="16"/>
      <c r="Q6" s="116">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6">
        <f>IFERROR(__xludf.DUMMYFUNCTION("""COMPUTED_VALUE"""),20000.0)</f>
        <v>20000</v>
      </c>
      <c r="I7" s="16"/>
      <c r="J7" s="16"/>
      <c r="K7" s="16"/>
      <c r="L7" s="16"/>
      <c r="M7" s="116">
        <f>IFERROR(__xludf.DUMMYFUNCTION("""COMPUTED_VALUE"""),20000.0)</f>
        <v>20000</v>
      </c>
      <c r="N7" s="116">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6">
        <f>IFERROR(__xludf.DUMMYFUNCTION("""COMPUTED_VALUE"""),15000.0)</f>
        <v>15000</v>
      </c>
      <c r="I10" s="16"/>
      <c r="J10" s="16"/>
      <c r="K10" s="116">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6">
        <f>IFERROR(__xludf.DUMMYFUNCTION("""COMPUTED_VALUE"""),30000.0)</f>
        <v>30000</v>
      </c>
      <c r="I14" s="16"/>
      <c r="J14" s="16"/>
      <c r="K14" s="116">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6">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6">
        <f>IFERROR(__xludf.DUMMYFUNCTION("""COMPUTED_VALUE"""),20000.0)</f>
        <v>20000</v>
      </c>
      <c r="I21" s="116">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6">
        <f>IFERROR(__xludf.DUMMYFUNCTION("""COMPUTED_VALUE"""),10000.0)</f>
        <v>10000</v>
      </c>
      <c r="I22" s="16"/>
      <c r="J22" s="16"/>
      <c r="K22" s="16"/>
      <c r="L22" s="16"/>
      <c r="M22" s="16"/>
      <c r="N22" s="16"/>
      <c r="O22" s="16"/>
      <c r="P22" s="16"/>
      <c r="Q22" s="116">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6">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6">
        <f>IFERROR(__xludf.DUMMYFUNCTION("""COMPUTED_VALUE"""),125000.0)</f>
        <v>125000</v>
      </c>
      <c r="I28" s="16"/>
      <c r="J28" s="16"/>
      <c r="K28" s="16"/>
      <c r="L28" s="16"/>
      <c r="M28" s="16"/>
      <c r="N28" s="16"/>
      <c r="O28" s="116">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6">
        <f>IFERROR(__xludf.DUMMYFUNCTION("""COMPUTED_VALUE"""),10000.0)</f>
        <v>10000</v>
      </c>
      <c r="I31" s="116">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6">
        <f>IFERROR(__xludf.DUMMYFUNCTION("""COMPUTED_VALUE"""),10000.0)</f>
        <v>10000</v>
      </c>
      <c r="I32" s="16"/>
      <c r="J32" s="16"/>
      <c r="K32" s="16"/>
      <c r="L32" s="16"/>
      <c r="M32" s="16"/>
      <c r="N32" s="16"/>
      <c r="O32" s="16"/>
      <c r="P32" s="16"/>
      <c r="Q32" s="16"/>
      <c r="R32" s="16"/>
      <c r="S32" s="16"/>
      <c r="T32" s="16"/>
      <c r="U32" s="16"/>
      <c r="V32" s="16"/>
      <c r="W32" s="16"/>
      <c r="X32" s="16"/>
      <c r="Y32" s="116">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6">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6">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6">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6">
        <f>IFERROR(__xludf.DUMMYFUNCTION("""COMPUTED_VALUE"""),140000.0)</f>
        <v>140000</v>
      </c>
      <c r="I37" s="16"/>
      <c r="J37" s="16"/>
      <c r="K37" s="16"/>
      <c r="L37" s="16"/>
      <c r="M37" s="16"/>
      <c r="N37" s="16"/>
      <c r="O37" s="116">
        <f>IFERROR(__xludf.DUMMYFUNCTION("""COMPUTED_VALUE"""),40000.0)</f>
        <v>40000</v>
      </c>
      <c r="P37" s="16"/>
      <c r="Q37" s="16"/>
      <c r="R37" s="116">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6">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6">
        <f>IFERROR(__xludf.DUMMYFUNCTION("""COMPUTED_VALUE"""),100000.0)</f>
        <v>100000</v>
      </c>
      <c r="I40" s="16"/>
      <c r="J40" s="16"/>
      <c r="K40" s="16"/>
      <c r="L40" s="16"/>
      <c r="M40" s="16"/>
      <c r="N40" s="16"/>
      <c r="O40" s="16"/>
      <c r="P40" s="16"/>
      <c r="Q40" s="16"/>
      <c r="R40" s="16"/>
      <c r="S40" s="16"/>
      <c r="T40" s="16"/>
      <c r="U40" s="16"/>
      <c r="V40" s="16"/>
      <c r="W40" s="16"/>
      <c r="X40" s="16"/>
      <c r="Y40" s="16"/>
      <c r="Z40" s="16"/>
      <c r="AA40" s="116">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6">
        <f>IFERROR(__xludf.DUMMYFUNCTION("""COMPUTED_VALUE"""),10000.0)</f>
        <v>10000</v>
      </c>
      <c r="I46" s="116">
        <f>IFERROR(__xludf.DUMMYFUNCTION("""COMPUTED_VALUE"""),10000.0)</f>
        <v>10000</v>
      </c>
      <c r="J46" s="16"/>
      <c r="K46" s="16"/>
      <c r="L46" s="16"/>
      <c r="M46" s="16"/>
      <c r="N46" s="16"/>
      <c r="O46" s="116">
        <f>IFERROR(__xludf.DUMMYFUNCTION("""COMPUTED_VALUE"""),10000.0)</f>
        <v>10000</v>
      </c>
      <c r="P46" s="116">
        <f>IFERROR(__xludf.DUMMYFUNCTION("""COMPUTED_VALUE"""),10000.0)</f>
        <v>10000</v>
      </c>
      <c r="Q46" s="16"/>
      <c r="R46" s="116">
        <f>IFERROR(__xludf.DUMMYFUNCTION("""COMPUTED_VALUE"""),10000.0)</f>
        <v>10000</v>
      </c>
      <c r="S46" s="16"/>
      <c r="T46" s="16"/>
      <c r="U46" s="16"/>
      <c r="V46" s="16"/>
      <c r="W46" s="16"/>
      <c r="X46" s="116">
        <f>IFERROR(__xludf.DUMMYFUNCTION("""COMPUTED_VALUE"""),10000.0)</f>
        <v>10000</v>
      </c>
      <c r="Y46" s="116">
        <f>IFERROR(__xludf.DUMMYFUNCTION("""COMPUTED_VALUE"""),10000.0)</f>
        <v>10000</v>
      </c>
      <c r="Z46" s="16"/>
      <c r="AA46" s="16"/>
      <c r="AB46" s="16"/>
      <c r="AC46" s="116">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6">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6">
        <f>IFERROR(__xludf.DUMMYFUNCTION("""COMPUTED_VALUE"""),100000.0)</f>
        <v>100000</v>
      </c>
      <c r="I48" s="16"/>
      <c r="J48" s="16"/>
      <c r="K48" s="16"/>
      <c r="L48" s="16"/>
      <c r="M48" s="16"/>
      <c r="N48" s="116">
        <f>IFERROR(__xludf.DUMMYFUNCTION("""COMPUTED_VALUE"""),100000.0)</f>
        <v>100000</v>
      </c>
      <c r="O48" s="116">
        <f>IFERROR(__xludf.DUMMYFUNCTION("""COMPUTED_VALUE"""),100000.0)</f>
        <v>100000</v>
      </c>
      <c r="P48" s="16"/>
      <c r="Q48" s="16"/>
      <c r="R48" s="16"/>
      <c r="S48" s="16"/>
      <c r="T48" s="16"/>
      <c r="U48" s="16"/>
      <c r="V48" s="16"/>
      <c r="W48" s="16"/>
      <c r="X48" s="16"/>
      <c r="Y48" s="16"/>
      <c r="Z48" s="16"/>
      <c r="AA48" s="16"/>
      <c r="AB48" s="16"/>
      <c r="AC48" s="116">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6">
        <f>IFERROR(__xludf.DUMMYFUNCTION("""COMPUTED_VALUE"""),100000.0)</f>
        <v>100000</v>
      </c>
      <c r="I49" s="16"/>
      <c r="J49" s="16"/>
      <c r="K49" s="16"/>
      <c r="L49" s="16"/>
      <c r="M49" s="16"/>
      <c r="N49" s="116">
        <f>IFERROR(__xludf.DUMMYFUNCTION("""COMPUTED_VALUE"""),100000.0)</f>
        <v>100000</v>
      </c>
      <c r="O49" s="116">
        <f>IFERROR(__xludf.DUMMYFUNCTION("""COMPUTED_VALUE"""),100000.0)</f>
        <v>100000</v>
      </c>
      <c r="P49" s="16"/>
      <c r="Q49" s="16"/>
      <c r="R49" s="16"/>
      <c r="S49" s="16"/>
      <c r="T49" s="16"/>
      <c r="U49" s="16"/>
      <c r="V49" s="16"/>
      <c r="W49" s="16"/>
      <c r="X49" s="16"/>
      <c r="Y49" s="16"/>
      <c r="Z49" s="16"/>
      <c r="AA49" s="16"/>
      <c r="AB49" s="16"/>
      <c r="AC49" s="116">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6">
        <f>IFERROR(__xludf.DUMMYFUNCTION("""COMPUTED_VALUE"""),10000.0)</f>
        <v>10000</v>
      </c>
      <c r="I57" s="16"/>
      <c r="J57" s="16"/>
      <c r="K57" s="116">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6">
        <f>IFERROR(__xludf.DUMMYFUNCTION("""COMPUTED_VALUE"""),25000.0)</f>
        <v>25000</v>
      </c>
      <c r="N59" s="16"/>
      <c r="O59" s="116">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6" t="str">
        <f>IFERROR(__xludf.DUMMYFUNCTION("""COMPUTED_VALUE"""),"DEF")</f>
        <v>DEF</v>
      </c>
      <c r="H63" s="116">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6">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6">
        <f>IFERROR(__xludf.DUMMYFUNCTION("""COMPUTED_VALUE"""),10000.0)</f>
        <v>10000</v>
      </c>
      <c r="I68" s="16"/>
      <c r="J68" s="16"/>
      <c r="K68" s="116">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6">
        <f>IFERROR(__xludf.DUMMYFUNCTION("""COMPUTED_VALUE"""),10000.0)</f>
        <v>10000</v>
      </c>
      <c r="I70" s="16"/>
      <c r="J70" s="16"/>
      <c r="K70" s="16"/>
      <c r="L70" s="16"/>
      <c r="M70" s="116">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6">
        <f>IFERROR(__xludf.DUMMYFUNCTION("""COMPUTED_VALUE"""),5000.0)</f>
        <v>5000</v>
      </c>
      <c r="I71" s="16"/>
      <c r="J71" s="16"/>
      <c r="K71" s="16"/>
      <c r="L71" s="16"/>
      <c r="M71" s="116">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6">
        <f>IFERROR(__xludf.DUMMYFUNCTION("""COMPUTED_VALUE"""),5000.0)</f>
        <v>5000</v>
      </c>
      <c r="I73" s="16"/>
      <c r="J73" s="16"/>
      <c r="K73" s="16"/>
      <c r="L73" s="16"/>
      <c r="M73" s="116">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6">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6">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6">
        <f>IFERROR(__xludf.DUMMYFUNCTION("""COMPUTED_VALUE"""),10000.0)</f>
        <v>10000</v>
      </c>
      <c r="I88" s="16"/>
      <c r="J88" s="16"/>
      <c r="K88" s="16"/>
      <c r="L88" s="16"/>
      <c r="M88" s="16"/>
      <c r="N88" s="16"/>
      <c r="O88" s="116">
        <f>IFERROR(__xludf.DUMMYFUNCTION("""COMPUTED_VALUE"""),10000.0)</f>
        <v>10000</v>
      </c>
      <c r="P88" s="16"/>
      <c r="Q88" s="16"/>
      <c r="R88" s="116">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6">
        <f>IFERROR(__xludf.DUMMYFUNCTION("""COMPUTED_VALUE"""),50000.0)</f>
        <v>50000</v>
      </c>
      <c r="I89" s="116">
        <f>IFERROR(__xludf.DUMMYFUNCTION("""COMPUTED_VALUE"""),50000.0)</f>
        <v>50000</v>
      </c>
      <c r="J89" s="16"/>
      <c r="K89" s="16"/>
      <c r="L89" s="16"/>
      <c r="M89" s="16"/>
      <c r="N89" s="16"/>
      <c r="O89" s="16"/>
      <c r="P89" s="16"/>
      <c r="Q89" s="16"/>
      <c r="R89" s="116">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6">
        <f>IFERROR(__xludf.DUMMYFUNCTION("""COMPUTED_VALUE"""),100000.0)</f>
        <v>100000</v>
      </c>
      <c r="I90" s="116">
        <f>IFERROR(__xludf.DUMMYFUNCTION("""COMPUTED_VALUE"""),100000.0)</f>
        <v>100000</v>
      </c>
      <c r="J90" s="16"/>
      <c r="K90" s="16"/>
      <c r="L90" s="16"/>
      <c r="M90" s="16"/>
      <c r="N90" s="16"/>
      <c r="O90" s="116">
        <f>IFERROR(__xludf.DUMMYFUNCTION("""COMPUTED_VALUE"""),50000.0)</f>
        <v>50000</v>
      </c>
      <c r="P90" s="16"/>
      <c r="Q90" s="16"/>
      <c r="R90" s="116">
        <f>IFERROR(__xludf.DUMMYFUNCTION("""COMPUTED_VALUE"""),50000.0)</f>
        <v>50000</v>
      </c>
      <c r="S90" s="16"/>
      <c r="T90" s="16"/>
      <c r="U90" s="16"/>
      <c r="V90" s="16"/>
      <c r="W90" s="16"/>
      <c r="X90" s="16"/>
      <c r="Y90" s="116">
        <f>IFERROR(__xludf.DUMMYFUNCTION("""COMPUTED_VALUE"""),50000.0)</f>
        <v>50000</v>
      </c>
      <c r="Z90" s="16"/>
      <c r="AA90" s="16"/>
      <c r="AB90" s="16"/>
      <c r="AC90" s="116">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6">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6">
        <f>IFERROR(__xludf.DUMMYFUNCTION("""COMPUTED_VALUE"""),50000.0)</f>
        <v>50000</v>
      </c>
      <c r="I92" s="116">
        <f>IFERROR(__xludf.DUMMYFUNCTION("""COMPUTED_VALUE"""),50000.0)</f>
        <v>50000</v>
      </c>
      <c r="J92" s="16"/>
      <c r="K92" s="16"/>
      <c r="L92" s="16"/>
      <c r="M92" s="16"/>
      <c r="N92" s="16"/>
      <c r="O92" s="116">
        <f>IFERROR(__xludf.DUMMYFUNCTION("""COMPUTED_VALUE"""),50000.0)</f>
        <v>50000</v>
      </c>
      <c r="P92" s="16"/>
      <c r="Q92" s="16"/>
      <c r="R92" s="116">
        <f>IFERROR(__xludf.DUMMYFUNCTION("""COMPUTED_VALUE"""),50000.0)</f>
        <v>50000</v>
      </c>
      <c r="S92" s="16"/>
      <c r="T92" s="16"/>
      <c r="U92" s="16"/>
      <c r="V92" s="16"/>
      <c r="W92" s="16"/>
      <c r="X92" s="16"/>
      <c r="Y92" s="116">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6">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6">
        <f>IFERROR(__xludf.DUMMYFUNCTION("""COMPUTED_VALUE"""),100000.0)</f>
        <v>100000</v>
      </c>
      <c r="I94" s="116">
        <f>IFERROR(__xludf.DUMMYFUNCTION("""COMPUTED_VALUE"""),100000.0)</f>
        <v>100000</v>
      </c>
      <c r="J94" s="16"/>
      <c r="K94" s="16"/>
      <c r="L94" s="16"/>
      <c r="M94" s="116">
        <f>IFERROR(__xludf.DUMMYFUNCTION("""COMPUTED_VALUE"""),100000.0)</f>
        <v>100000</v>
      </c>
      <c r="N94" s="16"/>
      <c r="O94" s="116">
        <f>IFERROR(__xludf.DUMMYFUNCTION("""COMPUTED_VALUE"""),100000.0)</f>
        <v>100000</v>
      </c>
      <c r="P94" s="16"/>
      <c r="Q94" s="16"/>
      <c r="R94" s="16"/>
      <c r="S94" s="16"/>
      <c r="T94" s="16"/>
      <c r="U94" s="16"/>
      <c r="V94" s="16"/>
      <c r="W94" s="16"/>
      <c r="X94" s="16"/>
      <c r="Y94" s="116">
        <f>IFERROR(__xludf.DUMMYFUNCTION("""COMPUTED_VALUE"""),100000.0)</f>
        <v>100000</v>
      </c>
      <c r="Z94" s="16"/>
      <c r="AA94" s="16"/>
      <c r="AB94" s="16"/>
      <c r="AC94" s="116">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6">
        <f>IFERROR(__xludf.DUMMYFUNCTION("""COMPUTED_VALUE"""),50000.0)</f>
        <v>50000</v>
      </c>
      <c r="I96" s="116">
        <f>IFERROR(__xludf.DUMMYFUNCTION("""COMPUTED_VALUE"""),50000.0)</f>
        <v>50000</v>
      </c>
      <c r="J96" s="16"/>
      <c r="K96" s="16"/>
      <c r="L96" s="16"/>
      <c r="M96" s="116">
        <f>IFERROR(__xludf.DUMMYFUNCTION("""COMPUTED_VALUE"""),50000.0)</f>
        <v>50000</v>
      </c>
      <c r="N96" s="16"/>
      <c r="O96" s="16"/>
      <c r="P96" s="116">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6">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6">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6">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6">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6">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6">
        <f>IFERROR(__xludf.DUMMYFUNCTION("""COMPUTED_VALUE"""),10000.0)</f>
        <v>10000</v>
      </c>
      <c r="I121" s="16"/>
      <c r="J121" s="16"/>
      <c r="K121" s="116">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6">
        <f>IFERROR(__xludf.DUMMYFUNCTION("""COMPUTED_VALUE"""),100000.0)</f>
        <v>100000</v>
      </c>
      <c r="I124" s="16"/>
      <c r="J124" s="16"/>
      <c r="K124" s="16"/>
      <c r="L124" s="16"/>
      <c r="M124" s="116">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6">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6">
        <f>IFERROR(__xludf.DUMMYFUNCTION("""COMPUTED_VALUE"""),50000.0)</f>
        <v>50000</v>
      </c>
      <c r="I130" s="116">
        <f>IFERROR(__xludf.DUMMYFUNCTION("""COMPUTED_VALUE"""),100000.0)</f>
        <v>100000</v>
      </c>
      <c r="J130" s="16"/>
      <c r="K130" s="16"/>
      <c r="L130" s="16"/>
      <c r="M130" s="16"/>
      <c r="N130" s="16"/>
      <c r="O130" s="116">
        <f>IFERROR(__xludf.DUMMYFUNCTION("""COMPUTED_VALUE"""),50000.0)</f>
        <v>50000</v>
      </c>
      <c r="P130" s="16"/>
      <c r="Q130" s="16"/>
      <c r="R130" s="116">
        <f>IFERROR(__xludf.DUMMYFUNCTION("""COMPUTED_VALUE"""),50000.0)</f>
        <v>50000</v>
      </c>
      <c r="S130" s="16"/>
      <c r="T130" s="16"/>
      <c r="U130" s="16"/>
      <c r="V130" s="16"/>
      <c r="W130" s="16"/>
      <c r="X130" s="16"/>
      <c r="Y130" s="16"/>
      <c r="Z130" s="16"/>
      <c r="AA130" s="16"/>
      <c r="AB130" s="16"/>
      <c r="AC130" s="116">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6">
        <f>IFERROR(__xludf.DUMMYFUNCTION("""COMPUTED_VALUE"""),100000.0)</f>
        <v>100000</v>
      </c>
      <c r="I133" s="16"/>
      <c r="J133" s="16"/>
      <c r="K133" s="16"/>
      <c r="L133" s="16"/>
      <c r="M133" s="116">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6">
        <f>IFERROR(__xludf.DUMMYFUNCTION("""COMPUTED_VALUE"""),10000.0)</f>
        <v>10000</v>
      </c>
      <c r="I139" s="16"/>
      <c r="J139" s="16"/>
      <c r="K139" s="16"/>
      <c r="L139" s="16"/>
      <c r="M139" s="16"/>
      <c r="N139" s="16"/>
      <c r="O139" s="116">
        <f>IFERROR(__xludf.DUMMYFUNCTION("""COMPUTED_VALUE"""),10000.0)</f>
        <v>10000</v>
      </c>
      <c r="P139" s="116">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6">
        <f>IFERROR(__xludf.DUMMYFUNCTION("""COMPUTED_VALUE"""),10000.0)</f>
        <v>10000</v>
      </c>
      <c r="I143" s="16"/>
      <c r="J143" s="16"/>
      <c r="K143" s="16"/>
      <c r="L143" s="16"/>
      <c r="M143" s="16"/>
      <c r="N143" s="16"/>
      <c r="O143" s="116">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6">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6">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6">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6">
        <f>IFERROR(__xludf.DUMMYFUNCTION("""COMPUTED_VALUE"""),50000.0)</f>
        <v>50000</v>
      </c>
      <c r="I155" s="116">
        <f>IFERROR(__xludf.DUMMYFUNCTION("""COMPUTED_VALUE"""),50000.0)</f>
        <v>50000</v>
      </c>
      <c r="J155" s="16"/>
      <c r="K155" s="16"/>
      <c r="L155" s="116">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6">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6">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6">
        <f>IFERROR(__xludf.DUMMYFUNCTION("""COMPUTED_VALUE"""),20000.0)</f>
        <v>20000</v>
      </c>
      <c r="I161" s="116">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6">
        <f>IFERROR(__xludf.DUMMYFUNCTION("""COMPUTED_VALUE"""),10000.0)</f>
        <v>10000</v>
      </c>
      <c r="I162" s="116">
        <f>IFERROR(__xludf.DUMMYFUNCTION("""COMPUTED_VALUE"""),10000.0)</f>
        <v>10000</v>
      </c>
      <c r="J162" s="16"/>
      <c r="K162" s="16"/>
      <c r="L162" s="16"/>
      <c r="M162" s="16"/>
      <c r="N162" s="16"/>
      <c r="O162" s="16"/>
      <c r="P162" s="16"/>
      <c r="Q162" s="16"/>
      <c r="R162" s="16"/>
      <c r="S162" s="16"/>
      <c r="T162" s="16"/>
      <c r="U162" s="16"/>
      <c r="V162" s="16"/>
      <c r="W162" s="16"/>
      <c r="X162" s="16"/>
      <c r="Y162" s="116">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6">
        <f>IFERROR(__xludf.DUMMYFUNCTION("""COMPUTED_VALUE"""),20000.0)</f>
        <v>20000</v>
      </c>
      <c r="I163" s="116">
        <f>IFERROR(__xludf.DUMMYFUNCTION("""COMPUTED_VALUE"""),20000.0)</f>
        <v>20000</v>
      </c>
      <c r="J163" s="16"/>
      <c r="K163" s="116">
        <f>IFERROR(__xludf.DUMMYFUNCTION("""COMPUTED_VALUE"""),20000.0)</f>
        <v>20000</v>
      </c>
      <c r="L163" s="16"/>
      <c r="M163" s="16"/>
      <c r="N163" s="16"/>
      <c r="O163" s="16"/>
      <c r="P163" s="16"/>
      <c r="Q163" s="16"/>
      <c r="R163" s="16"/>
      <c r="S163" s="16"/>
      <c r="T163" s="16"/>
      <c r="U163" s="16"/>
      <c r="V163" s="16"/>
      <c r="W163" s="16"/>
      <c r="X163" s="16"/>
      <c r="Y163" s="16"/>
      <c r="Z163" s="16"/>
      <c r="AA163" s="16"/>
      <c r="AB163" s="16"/>
      <c r="AC163" s="116">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6">
        <f>IFERROR(__xludf.DUMMYFUNCTION("""COMPUTED_VALUE"""),50000.0)</f>
        <v>50000</v>
      </c>
      <c r="I164" s="16"/>
      <c r="J164" s="16"/>
      <c r="K164" s="16"/>
      <c r="L164" s="16"/>
      <c r="M164" s="16"/>
      <c r="N164" s="16"/>
      <c r="O164" s="16"/>
      <c r="P164" s="16"/>
      <c r="Q164" s="16"/>
      <c r="R164" s="16"/>
      <c r="S164" s="116">
        <f>IFERROR(__xludf.DUMMYFUNCTION("""COMPUTED_VALUE"""),50000.0)</f>
        <v>50000</v>
      </c>
      <c r="T164" s="16"/>
      <c r="U164" s="16"/>
      <c r="V164" s="16"/>
      <c r="W164" s="16"/>
      <c r="X164" s="16"/>
      <c r="Y164" s="16"/>
      <c r="Z164" s="16"/>
      <c r="AA164" s="16"/>
      <c r="AB164" s="16"/>
      <c r="AC164" s="116">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6">
        <f>IFERROR(__xludf.DUMMYFUNCTION("""COMPUTED_VALUE"""),10000.0)</f>
        <v>10000</v>
      </c>
      <c r="I166" s="16"/>
      <c r="J166" s="16"/>
      <c r="K166" s="16"/>
      <c r="L166" s="116">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6">
        <f>IFERROR(__xludf.DUMMYFUNCTION("""COMPUTED_VALUE"""),50000.0)</f>
        <v>50000</v>
      </c>
      <c r="I170" s="116">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6">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6">
        <f>IFERROR(__xludf.DUMMYFUNCTION("""COMPUTED_VALUE"""),100000.0)</f>
        <v>100000</v>
      </c>
      <c r="I184" s="116">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6">
        <f>IFERROR(__xludf.DUMMYFUNCTION("""COMPUTED_VALUE"""),10000.0)</f>
        <v>10000</v>
      </c>
      <c r="I186" s="116">
        <f>IFERROR(__xludf.DUMMYFUNCTION("""COMPUTED_VALUE"""),10000.0)</f>
        <v>10000</v>
      </c>
      <c r="J186" s="116">
        <f>IFERROR(__xludf.DUMMYFUNCTION("""COMPUTED_VALUE"""),10000.0)</f>
        <v>10000</v>
      </c>
      <c r="K186" s="116">
        <f>IFERROR(__xludf.DUMMYFUNCTION("""COMPUTED_VALUE"""),10000.0)</f>
        <v>10000</v>
      </c>
      <c r="L186" s="116">
        <f>IFERROR(__xludf.DUMMYFUNCTION("""COMPUTED_VALUE"""),10000.0)</f>
        <v>10000</v>
      </c>
      <c r="M186" s="116">
        <f>IFERROR(__xludf.DUMMYFUNCTION("""COMPUTED_VALUE"""),10000.0)</f>
        <v>10000</v>
      </c>
      <c r="N186" s="116">
        <f>IFERROR(__xludf.DUMMYFUNCTION("""COMPUTED_VALUE"""),10000.0)</f>
        <v>10000</v>
      </c>
      <c r="O186" s="116">
        <f>IFERROR(__xludf.DUMMYFUNCTION("""COMPUTED_VALUE"""),10000.0)</f>
        <v>10000</v>
      </c>
      <c r="P186" s="116">
        <f>IFERROR(__xludf.DUMMYFUNCTION("""COMPUTED_VALUE"""),10000.0)</f>
        <v>10000</v>
      </c>
      <c r="Q186" s="116">
        <f>IFERROR(__xludf.DUMMYFUNCTION("""COMPUTED_VALUE"""),10000.0)</f>
        <v>10000</v>
      </c>
      <c r="R186" s="116">
        <f>IFERROR(__xludf.DUMMYFUNCTION("""COMPUTED_VALUE"""),10000.0)</f>
        <v>10000</v>
      </c>
      <c r="S186" s="116">
        <f>IFERROR(__xludf.DUMMYFUNCTION("""COMPUTED_VALUE"""),10000.0)</f>
        <v>10000</v>
      </c>
      <c r="T186" s="16"/>
      <c r="U186" s="16"/>
      <c r="V186" s="16"/>
      <c r="W186" s="16"/>
      <c r="X186" s="116">
        <f>IFERROR(__xludf.DUMMYFUNCTION("""COMPUTED_VALUE"""),10000.0)</f>
        <v>10000</v>
      </c>
      <c r="Y186" s="116">
        <f>IFERROR(__xludf.DUMMYFUNCTION("""COMPUTED_VALUE"""),10000.0)</f>
        <v>10000</v>
      </c>
      <c r="Z186" s="16"/>
      <c r="AA186" s="16"/>
      <c r="AB186" s="116">
        <f>IFERROR(__xludf.DUMMYFUNCTION("""COMPUTED_VALUE"""),10000.0)</f>
        <v>10000</v>
      </c>
      <c r="AC186" s="116">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6">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6">
        <f>IFERROR(__xludf.DUMMYFUNCTION("""COMPUTED_VALUE"""),100000.0)</f>
        <v>100000</v>
      </c>
      <c r="AC191" s="116">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6">
        <f>IFERROR(__xludf.DUMMYFUNCTION("""COMPUTED_VALUE"""),50000.0)</f>
        <v>50000</v>
      </c>
      <c r="I192" s="16"/>
      <c r="J192" s="16"/>
      <c r="K192" s="16"/>
      <c r="L192" s="16"/>
      <c r="M192" s="16"/>
      <c r="N192" s="16"/>
      <c r="O192" s="16"/>
      <c r="P192" s="16"/>
      <c r="Q192" s="16"/>
      <c r="R192" s="16"/>
      <c r="S192" s="116">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6">
        <f>IFERROR(__xludf.DUMMYFUNCTION("""COMPUTED_VALUE"""),10000.0)</f>
        <v>10000</v>
      </c>
      <c r="I193" s="16"/>
      <c r="J193" s="16"/>
      <c r="K193" s="116">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6">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6">
        <f>IFERROR(__xludf.DUMMYFUNCTION("""COMPUTED_VALUE"""),10000.0)</f>
        <v>10000</v>
      </c>
      <c r="I195" s="16"/>
      <c r="J195" s="16"/>
      <c r="K195" s="116">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6">
        <f>IFERROR(__xludf.DUMMYFUNCTION("""COMPUTED_VALUE"""),10000.0)</f>
        <v>10000</v>
      </c>
      <c r="I196" s="16"/>
      <c r="J196" s="16"/>
      <c r="K196" s="116">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6">
        <f>IFERROR(__xludf.DUMMYFUNCTION("""COMPUTED_VALUE"""),10000.0)</f>
        <v>10000</v>
      </c>
      <c r="I197" s="16"/>
      <c r="J197" s="16"/>
      <c r="K197" s="116">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6">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6">
        <f>IFERROR(__xludf.DUMMYFUNCTION("""COMPUTED_VALUE"""),40000.0)</f>
        <v>40000</v>
      </c>
      <c r="I199" s="16"/>
      <c r="J199" s="16"/>
      <c r="K199" s="116">
        <f>IFERROR(__xludf.DUMMYFUNCTION("""COMPUTED_VALUE"""),40000.0)</f>
        <v>40000</v>
      </c>
      <c r="L199" s="16"/>
      <c r="M199" s="16"/>
      <c r="N199" s="16"/>
      <c r="O199" s="16"/>
      <c r="P199" s="16"/>
      <c r="Q199" s="16"/>
      <c r="R199" s="16"/>
      <c r="S199" s="16"/>
      <c r="T199" s="16"/>
      <c r="U199" s="16"/>
      <c r="V199" s="16"/>
      <c r="W199" s="16"/>
      <c r="X199" s="16"/>
      <c r="Y199" s="16"/>
      <c r="Z199" s="16"/>
      <c r="AA199" s="16"/>
      <c r="AB199" s="16"/>
      <c r="AC199" s="116">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6">
        <f>IFERROR(__xludf.DUMMYFUNCTION("""COMPUTED_VALUE"""),50000.0)</f>
        <v>50000</v>
      </c>
      <c r="I200" s="16"/>
      <c r="J200" s="16"/>
      <c r="K200" s="116">
        <f>IFERROR(__xludf.DUMMYFUNCTION("""COMPUTED_VALUE"""),50000.0)</f>
        <v>50000</v>
      </c>
      <c r="L200" s="16"/>
      <c r="M200" s="16"/>
      <c r="N200" s="16"/>
      <c r="O200" s="16"/>
      <c r="P200" s="16"/>
      <c r="Q200" s="16"/>
      <c r="R200" s="16"/>
      <c r="S200" s="16"/>
      <c r="T200" s="16"/>
      <c r="U200" s="16"/>
      <c r="V200" s="16"/>
      <c r="W200" s="16"/>
      <c r="X200" s="16"/>
      <c r="Y200" s="16"/>
      <c r="Z200" s="16"/>
      <c r="AA200" s="16"/>
      <c r="AB200" s="16"/>
      <c r="AC200" s="116">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6">
        <f>IFERROR(__xludf.DUMMYFUNCTION("""COMPUTED_VALUE"""),10000.0)</f>
        <v>10000</v>
      </c>
      <c r="I201" s="16"/>
      <c r="J201" s="16"/>
      <c r="K201" s="116">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6">
        <f>IFERROR(__xludf.DUMMYFUNCTION("""COMPUTED_VALUE"""),10000.0)</f>
        <v>10000</v>
      </c>
      <c r="I202" s="16"/>
      <c r="J202" s="16"/>
      <c r="K202" s="16"/>
      <c r="L202" s="16"/>
      <c r="M202" s="16"/>
      <c r="N202" s="16"/>
      <c r="O202" s="16"/>
      <c r="P202" s="16"/>
      <c r="Q202" s="16"/>
      <c r="R202" s="116">
        <f>IFERROR(__xludf.DUMMYFUNCTION("""COMPUTED_VALUE"""),10000.0)</f>
        <v>10000</v>
      </c>
      <c r="S202" s="116">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6">
        <f>IFERROR(__xludf.DUMMYFUNCTION("""COMPUTED_VALUE"""),50000.0)</f>
        <v>50000</v>
      </c>
      <c r="I221" s="16"/>
      <c r="J221" s="16"/>
      <c r="K221" s="16"/>
      <c r="L221" s="16"/>
      <c r="M221" s="16"/>
      <c r="N221" s="116">
        <f>IFERROR(__xludf.DUMMYFUNCTION("""COMPUTED_VALUE"""),50000.0)</f>
        <v>50000</v>
      </c>
      <c r="O221" s="16"/>
      <c r="P221" s="16"/>
      <c r="Q221" s="16"/>
      <c r="R221" s="16"/>
      <c r="S221" s="16"/>
      <c r="T221" s="16"/>
      <c r="U221" s="16"/>
      <c r="V221" s="16"/>
      <c r="W221" s="16"/>
      <c r="X221" s="16"/>
      <c r="Y221" s="16"/>
      <c r="Z221" s="16"/>
      <c r="AA221" s="16"/>
      <c r="AB221" s="16"/>
      <c r="AC221" s="116">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6">
        <f>IFERROR(__xludf.DUMMYFUNCTION("""COMPUTED_VALUE"""),50000.0)</f>
        <v>50000</v>
      </c>
      <c r="I222" s="16"/>
      <c r="J222" s="16"/>
      <c r="K222" s="16"/>
      <c r="L222" s="16"/>
      <c r="M222" s="16"/>
      <c r="N222" s="116">
        <f>IFERROR(__xludf.DUMMYFUNCTION("""COMPUTED_VALUE"""),50000.0)</f>
        <v>50000</v>
      </c>
      <c r="O222" s="16"/>
      <c r="P222" s="16"/>
      <c r="Q222" s="16"/>
      <c r="R222" s="16"/>
      <c r="S222" s="16"/>
      <c r="T222" s="16"/>
      <c r="U222" s="16"/>
      <c r="V222" s="16"/>
      <c r="W222" s="16"/>
      <c r="X222" s="16"/>
      <c r="Y222" s="16"/>
      <c r="Z222" s="16"/>
      <c r="AA222" s="16"/>
      <c r="AB222" s="16"/>
      <c r="AC222" s="116">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6">
        <f>IFERROR(__xludf.DUMMYFUNCTION("""COMPUTED_VALUE"""),50000.0)</f>
        <v>50000</v>
      </c>
      <c r="I223" s="16"/>
      <c r="J223" s="16"/>
      <c r="K223" s="16"/>
      <c r="L223" s="16"/>
      <c r="M223" s="16"/>
      <c r="N223" s="116">
        <f>IFERROR(__xludf.DUMMYFUNCTION("""COMPUTED_VALUE"""),50000.0)</f>
        <v>50000</v>
      </c>
      <c r="O223" s="16"/>
      <c r="P223" s="16"/>
      <c r="Q223" s="16"/>
      <c r="R223" s="16"/>
      <c r="S223" s="16"/>
      <c r="T223" s="16"/>
      <c r="U223" s="16"/>
      <c r="V223" s="16"/>
      <c r="W223" s="16"/>
      <c r="X223" s="16"/>
      <c r="Y223" s="16"/>
      <c r="Z223" s="16"/>
      <c r="AA223" s="16"/>
      <c r="AB223" s="16"/>
      <c r="AC223" s="116">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6">
        <f>IFERROR(__xludf.DUMMYFUNCTION("""COMPUTED_VALUE"""),50000.0)</f>
        <v>50000</v>
      </c>
      <c r="I224" s="16"/>
      <c r="J224" s="16"/>
      <c r="K224" s="16"/>
      <c r="L224" s="16"/>
      <c r="M224" s="16"/>
      <c r="N224" s="116">
        <f>IFERROR(__xludf.DUMMYFUNCTION("""COMPUTED_VALUE"""),50000.0)</f>
        <v>50000</v>
      </c>
      <c r="O224" s="16"/>
      <c r="P224" s="16"/>
      <c r="Q224" s="16"/>
      <c r="R224" s="16"/>
      <c r="S224" s="16"/>
      <c r="T224" s="16"/>
      <c r="U224" s="16"/>
      <c r="V224" s="16"/>
      <c r="W224" s="16"/>
      <c r="X224" s="16"/>
      <c r="Y224" s="16"/>
      <c r="Z224" s="16"/>
      <c r="AA224" s="16"/>
      <c r="AB224" s="16"/>
      <c r="AC224" s="116">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6">
        <f>IFERROR(__xludf.DUMMYFUNCTION("""COMPUTED_VALUE"""),50000.0)</f>
        <v>50000</v>
      </c>
      <c r="I225" s="16"/>
      <c r="J225" s="16"/>
      <c r="K225" s="16"/>
      <c r="L225" s="16"/>
      <c r="M225" s="16"/>
      <c r="N225" s="116">
        <f>IFERROR(__xludf.DUMMYFUNCTION("""COMPUTED_VALUE"""),50000.0)</f>
        <v>50000</v>
      </c>
      <c r="O225" s="16"/>
      <c r="P225" s="16"/>
      <c r="Q225" s="16"/>
      <c r="R225" s="16"/>
      <c r="S225" s="16"/>
      <c r="T225" s="16"/>
      <c r="U225" s="16"/>
      <c r="V225" s="16"/>
      <c r="W225" s="16"/>
      <c r="X225" s="16"/>
      <c r="Y225" s="16"/>
      <c r="Z225" s="16"/>
      <c r="AA225" s="16"/>
      <c r="AB225" s="16"/>
      <c r="AC225" s="116">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6">
        <f>IFERROR(__xludf.DUMMYFUNCTION("""COMPUTED_VALUE"""),10000.0)</f>
        <v>10000</v>
      </c>
      <c r="I227" s="116">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6">
        <f>IFERROR(__xludf.DUMMYFUNCTION("""COMPUTED_VALUE"""),15000.0)</f>
        <v>15000</v>
      </c>
      <c r="I228" s="16"/>
      <c r="J228" s="16"/>
      <c r="K228" s="16"/>
      <c r="L228" s="16"/>
      <c r="M228" s="16"/>
      <c r="N228" s="16"/>
      <c r="O228" s="116">
        <f>IFERROR(__xludf.DUMMYFUNCTION("""COMPUTED_VALUE"""),15000.0)</f>
        <v>15000</v>
      </c>
      <c r="P228" s="16"/>
      <c r="Q228" s="16"/>
      <c r="R228" s="116">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6">
        <f>IFERROR(__xludf.DUMMYFUNCTION("""COMPUTED_VALUE"""),60000.0)</f>
        <v>60000</v>
      </c>
      <c r="I230" s="16"/>
      <c r="J230" s="16"/>
      <c r="K230" s="16"/>
      <c r="L230" s="16"/>
      <c r="M230" s="16"/>
      <c r="N230" s="16"/>
      <c r="O230" s="16"/>
      <c r="P230" s="16"/>
      <c r="Q230" s="16"/>
      <c r="R230" s="16"/>
      <c r="S230" s="16"/>
      <c r="T230" s="16"/>
      <c r="U230" s="16"/>
      <c r="V230" s="16"/>
      <c r="W230" s="16"/>
      <c r="X230" s="16"/>
      <c r="Y230" s="116">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6">
        <f>IFERROR(__xludf.DUMMYFUNCTION("""COMPUTED_VALUE"""),10000.0)</f>
        <v>10000</v>
      </c>
      <c r="I231" s="116">
        <f>IFERROR(__xludf.DUMMYFUNCTION("""COMPUTED_VALUE"""),10000.0)</f>
        <v>10000</v>
      </c>
      <c r="J231" s="116">
        <f>IFERROR(__xludf.DUMMYFUNCTION("""COMPUTED_VALUE"""),10000.0)</f>
        <v>10000</v>
      </c>
      <c r="K231" s="116">
        <f>IFERROR(__xludf.DUMMYFUNCTION("""COMPUTED_VALUE"""),10000.0)</f>
        <v>10000</v>
      </c>
      <c r="L231" s="116">
        <f>IFERROR(__xludf.DUMMYFUNCTION("""COMPUTED_VALUE"""),10000.0)</f>
        <v>10000</v>
      </c>
      <c r="M231" s="116">
        <f>IFERROR(__xludf.DUMMYFUNCTION("""COMPUTED_VALUE"""),10000.0)</f>
        <v>10000</v>
      </c>
      <c r="N231" s="116">
        <f>IFERROR(__xludf.DUMMYFUNCTION("""COMPUTED_VALUE"""),10000.0)</f>
        <v>10000</v>
      </c>
      <c r="O231" s="116">
        <f>IFERROR(__xludf.DUMMYFUNCTION("""COMPUTED_VALUE"""),10000.0)</f>
        <v>10000</v>
      </c>
      <c r="P231" s="116">
        <f>IFERROR(__xludf.DUMMYFUNCTION("""COMPUTED_VALUE"""),10000.0)</f>
        <v>10000</v>
      </c>
      <c r="Q231" s="116">
        <f>IFERROR(__xludf.DUMMYFUNCTION("""COMPUTED_VALUE"""),10000.0)</f>
        <v>10000</v>
      </c>
      <c r="R231" s="116">
        <f>IFERROR(__xludf.DUMMYFUNCTION("""COMPUTED_VALUE"""),10000.0)</f>
        <v>10000</v>
      </c>
      <c r="S231" s="116">
        <f>IFERROR(__xludf.DUMMYFUNCTION("""COMPUTED_VALUE"""),10000.0)</f>
        <v>10000</v>
      </c>
      <c r="T231" s="16"/>
      <c r="U231" s="16"/>
      <c r="V231" s="16"/>
      <c r="W231" s="16"/>
      <c r="X231" s="116">
        <f>IFERROR(__xludf.DUMMYFUNCTION("""COMPUTED_VALUE"""),10000.0)</f>
        <v>10000</v>
      </c>
      <c r="Y231" s="116">
        <f>IFERROR(__xludf.DUMMYFUNCTION("""COMPUTED_VALUE"""),10000.0)</f>
        <v>10000</v>
      </c>
      <c r="Z231" s="16"/>
      <c r="AA231" s="16"/>
      <c r="AB231" s="116">
        <f>IFERROR(__xludf.DUMMYFUNCTION("""COMPUTED_VALUE"""),10000.0)</f>
        <v>10000</v>
      </c>
      <c r="AC231" s="116">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6">
        <f>IFERROR(__xludf.DUMMYFUNCTION("""COMPUTED_VALUE"""),5000.0)</f>
        <v>5000</v>
      </c>
      <c r="I232" s="116">
        <f>IFERROR(__xludf.DUMMYFUNCTION("""COMPUTED_VALUE"""),5000.0)</f>
        <v>5000</v>
      </c>
      <c r="J232" s="16"/>
      <c r="K232" s="16"/>
      <c r="L232" s="16"/>
      <c r="M232" s="16"/>
      <c r="N232" s="16"/>
      <c r="O232" s="116">
        <f>IFERROR(__xludf.DUMMYFUNCTION("""COMPUTED_VALUE"""),5000.0)</f>
        <v>5000</v>
      </c>
      <c r="P232" s="116">
        <f>IFERROR(__xludf.DUMMYFUNCTION("""COMPUTED_VALUE"""),5000.0)</f>
        <v>5000</v>
      </c>
      <c r="Q232" s="16"/>
      <c r="R232" s="116">
        <f>IFERROR(__xludf.DUMMYFUNCTION("""COMPUTED_VALUE"""),5000.0)</f>
        <v>5000</v>
      </c>
      <c r="S232" s="16"/>
      <c r="T232" s="16"/>
      <c r="U232" s="16"/>
      <c r="V232" s="116">
        <f>IFERROR(__xludf.DUMMYFUNCTION("""COMPUTED_VALUE"""),5000.0)</f>
        <v>5000</v>
      </c>
      <c r="W232" s="116">
        <f>IFERROR(__xludf.DUMMYFUNCTION("""COMPUTED_VALUE"""),5000.0)</f>
        <v>5000</v>
      </c>
      <c r="X232" s="116">
        <f>IFERROR(__xludf.DUMMYFUNCTION("""COMPUTED_VALUE"""),5000.0)</f>
        <v>5000</v>
      </c>
      <c r="Y232" s="116">
        <f>IFERROR(__xludf.DUMMYFUNCTION("""COMPUTED_VALUE"""),5000.0)</f>
        <v>5000</v>
      </c>
      <c r="Z232" s="16"/>
      <c r="AA232" s="16"/>
      <c r="AB232" s="16"/>
      <c r="AC232" s="116">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6">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6">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6">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6">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6">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6">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6">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6">
        <f>IFERROR(__xludf.DUMMYFUNCTION("""COMPUTED_VALUE"""),30000.0)</f>
        <v>30000</v>
      </c>
      <c r="I250" s="16"/>
      <c r="J250" s="16"/>
      <c r="K250" s="16"/>
      <c r="L250" s="16"/>
      <c r="M250" s="16"/>
      <c r="N250" s="16"/>
      <c r="O250" s="116">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6">
        <f>IFERROR(__xludf.DUMMYFUNCTION("""COMPUTED_VALUE"""),50000.0)</f>
        <v>50000</v>
      </c>
      <c r="I254" s="116">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6">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6">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6">
        <f>IFERROR(__xludf.DUMMYFUNCTION("""COMPUTED_VALUE"""),25000.0)</f>
        <v>25000</v>
      </c>
      <c r="I265" s="16"/>
      <c r="J265" s="16"/>
      <c r="K265" s="16"/>
      <c r="L265" s="16"/>
      <c r="M265" s="16"/>
      <c r="N265" s="116">
        <f>IFERROR(__xludf.DUMMYFUNCTION("""COMPUTED_VALUE"""),25000.0)</f>
        <v>25000</v>
      </c>
      <c r="O265" s="16"/>
      <c r="P265" s="16"/>
      <c r="Q265" s="16"/>
      <c r="R265" s="16"/>
      <c r="S265" s="16"/>
      <c r="T265" s="16"/>
      <c r="U265" s="16"/>
      <c r="V265" s="16"/>
      <c r="W265" s="16"/>
      <c r="X265" s="16"/>
      <c r="Y265" s="16"/>
      <c r="Z265" s="16"/>
      <c r="AA265" s="16"/>
      <c r="AB265" s="16"/>
      <c r="AC265" s="116">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6">
        <f>IFERROR(__xludf.DUMMYFUNCTION("""COMPUTED_VALUE"""),25000.0)</f>
        <v>25000</v>
      </c>
      <c r="I266" s="16"/>
      <c r="J266" s="16"/>
      <c r="K266" s="16"/>
      <c r="L266" s="16"/>
      <c r="M266" s="16"/>
      <c r="N266" s="116">
        <f>IFERROR(__xludf.DUMMYFUNCTION("""COMPUTED_VALUE"""),25000.0)</f>
        <v>25000</v>
      </c>
      <c r="O266" s="16"/>
      <c r="P266" s="16"/>
      <c r="Q266" s="16"/>
      <c r="R266" s="16"/>
      <c r="S266" s="16"/>
      <c r="T266" s="16"/>
      <c r="U266" s="16"/>
      <c r="V266" s="16"/>
      <c r="W266" s="16"/>
      <c r="X266" s="16"/>
      <c r="Y266" s="16"/>
      <c r="Z266" s="16"/>
      <c r="AA266" s="16"/>
      <c r="AB266" s="16"/>
      <c r="AC266" s="116">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6">
        <f>IFERROR(__xludf.DUMMYFUNCTION("""COMPUTED_VALUE"""),25000.0)</f>
        <v>25000</v>
      </c>
      <c r="I267" s="16"/>
      <c r="J267" s="16"/>
      <c r="K267" s="16"/>
      <c r="L267" s="16"/>
      <c r="M267" s="16"/>
      <c r="N267" s="116">
        <f>IFERROR(__xludf.DUMMYFUNCTION("""COMPUTED_VALUE"""),25000.0)</f>
        <v>25000</v>
      </c>
      <c r="O267" s="16"/>
      <c r="P267" s="16"/>
      <c r="Q267" s="16"/>
      <c r="R267" s="16"/>
      <c r="S267" s="16"/>
      <c r="T267" s="16"/>
      <c r="U267" s="16"/>
      <c r="V267" s="16"/>
      <c r="W267" s="16"/>
      <c r="X267" s="16"/>
      <c r="Y267" s="16"/>
      <c r="Z267" s="16"/>
      <c r="AA267" s="16"/>
      <c r="AB267" s="16"/>
      <c r="AC267" s="116">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6">
        <f>IFERROR(__xludf.DUMMYFUNCTION("""COMPUTED_VALUE"""),10000.0)</f>
        <v>10000</v>
      </c>
      <c r="I277" s="16"/>
      <c r="J277" s="16"/>
      <c r="K277" s="16"/>
      <c r="L277" s="16"/>
      <c r="M277" s="16"/>
      <c r="N277" s="16"/>
      <c r="O277" s="16"/>
      <c r="P277" s="16"/>
      <c r="Q277" s="16"/>
      <c r="R277" s="16"/>
      <c r="S277" s="116">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6">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6">
        <f>IFERROR(__xludf.DUMMYFUNCTION("""COMPUTED_VALUE"""),10000.0)</f>
        <v>10000</v>
      </c>
      <c r="I279" s="16"/>
      <c r="J279" s="16"/>
      <c r="K279" s="16"/>
      <c r="L279" s="16"/>
      <c r="M279" s="16"/>
      <c r="N279" s="16"/>
      <c r="O279" s="116">
        <f>IFERROR(__xludf.DUMMYFUNCTION("""COMPUTED_VALUE"""),10000.0)</f>
        <v>10000</v>
      </c>
      <c r="P279" s="16"/>
      <c r="Q279" s="16"/>
      <c r="R279" s="116">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6">
        <f>IFERROR(__xludf.DUMMYFUNCTION("""COMPUTED_VALUE"""),0.0)</f>
        <v>0</v>
      </c>
      <c r="I284" s="16"/>
      <c r="J284" s="16"/>
      <c r="K284" s="16"/>
      <c r="L284" s="16"/>
      <c r="M284" s="16"/>
      <c r="N284" s="16"/>
      <c r="O284" s="16"/>
      <c r="P284" s="116">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6">
        <f>IFERROR(__xludf.DUMMYFUNCTION("""COMPUTED_VALUE"""),4000.0)</f>
        <v>4000</v>
      </c>
      <c r="I285" s="16"/>
      <c r="J285" s="16"/>
      <c r="K285" s="16"/>
      <c r="L285" s="16"/>
      <c r="M285" s="16"/>
      <c r="N285" s="16"/>
      <c r="O285" s="16"/>
      <c r="P285" s="16"/>
      <c r="Q285" s="16"/>
      <c r="R285" s="16"/>
      <c r="S285" s="116">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6">
        <f>IFERROR(__xludf.DUMMYFUNCTION("""COMPUTED_VALUE"""),50000.0)</f>
        <v>50000</v>
      </c>
      <c r="I289" s="116">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6">
        <f>IFERROR(__xludf.DUMMYFUNCTION("""COMPUTED_VALUE"""),20000.0)</f>
        <v>20000</v>
      </c>
      <c r="I290" s="116">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6">
        <f>IFERROR(__xludf.DUMMYFUNCTION("""COMPUTED_VALUE"""),10000.0)</f>
        <v>10000</v>
      </c>
      <c r="I291" s="16"/>
      <c r="J291" s="16"/>
      <c r="K291" s="16"/>
      <c r="L291" s="16"/>
      <c r="M291" s="116">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6">
        <f>IFERROR(__xludf.DUMMYFUNCTION("""COMPUTED_VALUE"""),50000.0)</f>
        <v>50000</v>
      </c>
      <c r="N292" s="16"/>
      <c r="O292" s="16"/>
      <c r="P292" s="16"/>
      <c r="Q292" s="16"/>
      <c r="R292" s="16"/>
      <c r="S292" s="16"/>
      <c r="T292" s="16"/>
      <c r="U292" s="16"/>
      <c r="V292" s="16"/>
      <c r="W292" s="16"/>
      <c r="X292" s="16"/>
      <c r="Y292" s="116">
        <f>IFERROR(__xludf.DUMMYFUNCTION("""COMPUTED_VALUE"""),50000.0)</f>
        <v>50000</v>
      </c>
      <c r="Z292" s="16"/>
      <c r="AA292" s="16"/>
      <c r="AB292" s="16"/>
      <c r="AC292" s="116">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6">
        <f>IFERROR(__xludf.DUMMYFUNCTION("""COMPUTED_VALUE"""),20000.0)</f>
        <v>20000</v>
      </c>
      <c r="I294" s="116">
        <f>IFERROR(__xludf.DUMMYFUNCTION("""COMPUTED_VALUE"""),20000.0)</f>
        <v>20000</v>
      </c>
      <c r="J294" s="16"/>
      <c r="K294" s="16"/>
      <c r="L294" s="16"/>
      <c r="M294" s="16"/>
      <c r="N294" s="16"/>
      <c r="O294" s="116">
        <f>IFERROR(__xludf.DUMMYFUNCTION("""COMPUTED_VALUE"""),20000.0)</f>
        <v>20000</v>
      </c>
      <c r="P294" s="16"/>
      <c r="Q294" s="16"/>
      <c r="R294" s="116">
        <f>IFERROR(__xludf.DUMMYFUNCTION("""COMPUTED_VALUE"""),20000.0)</f>
        <v>20000</v>
      </c>
      <c r="S294" s="16"/>
      <c r="T294" s="16"/>
      <c r="U294" s="16"/>
      <c r="V294" s="16"/>
      <c r="W294" s="16"/>
      <c r="X294" s="16"/>
      <c r="Y294" s="16"/>
      <c r="Z294" s="16"/>
      <c r="AA294" s="16"/>
      <c r="AB294" s="16"/>
      <c r="AC294" s="116">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6">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6">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6">
        <f>IFERROR(__xludf.DUMMYFUNCTION("""COMPUTED_VALUE"""),10000.0)</f>
        <v>10000</v>
      </c>
      <c r="I299" s="16"/>
      <c r="J299" s="16"/>
      <c r="K299" s="116">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6">
        <f>IFERROR(__xludf.DUMMYFUNCTION("""COMPUTED_VALUE"""),10000.0)</f>
        <v>10000</v>
      </c>
      <c r="I300" s="116">
        <f>IFERROR(__xludf.DUMMYFUNCTION("""COMPUTED_VALUE"""),10000.0)</f>
        <v>10000</v>
      </c>
      <c r="J300" s="16"/>
      <c r="K300" s="16"/>
      <c r="L300" s="16"/>
      <c r="M300" s="16"/>
      <c r="N300" s="16"/>
      <c r="O300" s="116">
        <f>IFERROR(__xludf.DUMMYFUNCTION("""COMPUTED_VALUE"""),10000.0)</f>
        <v>10000</v>
      </c>
      <c r="P300" s="116">
        <f>IFERROR(__xludf.DUMMYFUNCTION("""COMPUTED_VALUE"""),5000.0)</f>
        <v>5000</v>
      </c>
      <c r="Q300" s="16"/>
      <c r="R300" s="116">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6">
        <f>IFERROR(__xludf.DUMMYFUNCTION("""COMPUTED_VALUE"""),20000.0)</f>
        <v>20000</v>
      </c>
      <c r="I301" s="16"/>
      <c r="J301" s="16"/>
      <c r="K301" s="116">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6">
        <f>IFERROR(__xludf.DUMMYFUNCTION("""COMPUTED_VALUE"""),50000.0)</f>
        <v>50000</v>
      </c>
      <c r="I305" s="16"/>
      <c r="J305" s="16"/>
      <c r="K305" s="16"/>
      <c r="L305" s="16"/>
      <c r="M305" s="16"/>
      <c r="N305" s="16"/>
      <c r="O305" s="116">
        <f>IFERROR(__xludf.DUMMYFUNCTION("""COMPUTED_VALUE"""),50000.0)</f>
        <v>50000</v>
      </c>
      <c r="P305" s="16"/>
      <c r="Q305" s="16"/>
      <c r="R305" s="16"/>
      <c r="S305" s="16"/>
      <c r="T305" s="16"/>
      <c r="U305" s="16"/>
      <c r="V305" s="16"/>
      <c r="W305" s="16"/>
      <c r="X305" s="16"/>
      <c r="Y305" s="116">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6">
        <f>IFERROR(__xludf.DUMMYFUNCTION("""COMPUTED_VALUE"""),10000.0)</f>
        <v>10000</v>
      </c>
      <c r="I306" s="116">
        <f>IFERROR(__xludf.DUMMYFUNCTION("""COMPUTED_VALUE"""),10000.0)</f>
        <v>10000</v>
      </c>
      <c r="J306" s="16"/>
      <c r="K306" s="16"/>
      <c r="L306" s="16"/>
      <c r="M306" s="16"/>
      <c r="N306" s="16"/>
      <c r="O306" s="16"/>
      <c r="P306" s="16"/>
      <c r="Q306" s="116">
        <f>IFERROR(__xludf.DUMMYFUNCTION("""COMPUTED_VALUE"""),10000.0)</f>
        <v>10000</v>
      </c>
      <c r="R306" s="16"/>
      <c r="S306" s="116">
        <f>IFERROR(__xludf.DUMMYFUNCTION("""COMPUTED_VALUE"""),10000.0)</f>
        <v>10000</v>
      </c>
      <c r="T306" s="16"/>
      <c r="U306" s="16"/>
      <c r="V306" s="16"/>
      <c r="W306" s="16"/>
      <c r="X306" s="16"/>
      <c r="Y306" s="116">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6">
        <f>IFERROR(__xludf.DUMMYFUNCTION("""COMPUTED_VALUE"""),10000.0)</f>
        <v>10000</v>
      </c>
      <c r="J308" s="16"/>
      <c r="K308" s="16"/>
      <c r="L308" s="16"/>
      <c r="M308" s="16"/>
      <c r="N308" s="16"/>
      <c r="O308" s="116">
        <f>IFERROR(__xludf.DUMMYFUNCTION("""COMPUTED_VALUE"""),10000.0)</f>
        <v>10000</v>
      </c>
      <c r="P308" s="16"/>
      <c r="Q308" s="16"/>
      <c r="R308" s="116">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6">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6">
        <f>IFERROR(__xludf.DUMMYFUNCTION("""COMPUTED_VALUE"""),50000.0)</f>
        <v>50000</v>
      </c>
      <c r="I311" s="116">
        <f>IFERROR(__xludf.DUMMYFUNCTION("""COMPUTED_VALUE"""),50000.0)</f>
        <v>50000</v>
      </c>
      <c r="J311" s="16"/>
      <c r="K311" s="16"/>
      <c r="L311" s="16"/>
      <c r="M311" s="16"/>
      <c r="N311" s="16"/>
      <c r="O311" s="116">
        <f>IFERROR(__xludf.DUMMYFUNCTION("""COMPUTED_VALUE"""),50000.0)</f>
        <v>50000</v>
      </c>
      <c r="P311" s="16"/>
      <c r="Q311" s="16"/>
      <c r="R311" s="16"/>
      <c r="S311" s="16"/>
      <c r="T311" s="16"/>
      <c r="U311" s="16"/>
      <c r="V311" s="16"/>
      <c r="W311" s="16"/>
      <c r="X311" s="16"/>
      <c r="Y311" s="16"/>
      <c r="Z311" s="16"/>
      <c r="AA311" s="16"/>
      <c r="AB311" s="16"/>
      <c r="AC311" s="116">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6">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6">
        <f>IFERROR(__xludf.DUMMYFUNCTION("""COMPUTED_VALUE"""),20000.0)</f>
        <v>20000</v>
      </c>
      <c r="I321" s="16"/>
      <c r="J321" s="16"/>
      <c r="K321" s="16"/>
      <c r="L321" s="16"/>
      <c r="M321" s="16"/>
      <c r="N321" s="16"/>
      <c r="O321" s="16"/>
      <c r="P321" s="16"/>
      <c r="Q321" s="16"/>
      <c r="R321" s="116">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6">
        <f>IFERROR(__xludf.DUMMYFUNCTION("""COMPUTED_VALUE"""),10000.0)</f>
        <v>10000</v>
      </c>
      <c r="I326" s="16"/>
      <c r="J326" s="16"/>
      <c r="K326" s="16"/>
      <c r="L326" s="16"/>
      <c r="M326" s="16"/>
      <c r="N326" s="16"/>
      <c r="O326" s="16"/>
      <c r="P326" s="16"/>
      <c r="Q326" s="16"/>
      <c r="R326" s="16"/>
      <c r="S326" s="116">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6">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6">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6">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6">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6">
        <f>IFERROR(__xludf.DUMMYFUNCTION("""COMPUTED_VALUE"""),10000.0)</f>
        <v>10000</v>
      </c>
      <c r="I336" s="16"/>
      <c r="J336" s="16"/>
      <c r="K336" s="16"/>
      <c r="L336" s="16"/>
      <c r="M336" s="16"/>
      <c r="N336" s="16"/>
      <c r="O336" s="16"/>
      <c r="P336" s="16"/>
      <c r="Q336" s="16"/>
      <c r="R336" s="16"/>
      <c r="S336" s="16"/>
      <c r="T336" s="16"/>
      <c r="U336" s="16"/>
      <c r="V336" s="16"/>
      <c r="W336" s="116">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6">
        <f>IFERROR(__xludf.DUMMYFUNCTION("""COMPUTED_VALUE"""),20000.0)</f>
        <v>20000</v>
      </c>
      <c r="I337" s="16"/>
      <c r="J337" s="16"/>
      <c r="K337" s="16"/>
      <c r="L337" s="16"/>
      <c r="M337" s="16"/>
      <c r="N337" s="16"/>
      <c r="O337" s="16"/>
      <c r="P337" s="16"/>
      <c r="Q337" s="16"/>
      <c r="R337" s="16"/>
      <c r="S337" s="16"/>
      <c r="T337" s="16"/>
      <c r="U337" s="16"/>
      <c r="V337" s="16"/>
      <c r="W337" s="116">
        <f>IFERROR(__xludf.DUMMYFUNCTION("""COMPUTED_VALUE"""),20000.0)</f>
        <v>20000</v>
      </c>
      <c r="X337" s="16"/>
      <c r="Y337" s="16"/>
      <c r="Z337" s="16"/>
      <c r="AA337" s="16"/>
      <c r="AB337" s="16"/>
      <c r="AC337" s="116">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6">
        <f>IFERROR(__xludf.DUMMYFUNCTION("""COMPUTED_VALUE"""),100000.0)</f>
        <v>100000</v>
      </c>
      <c r="I345" s="116">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6">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6">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6">
        <f>IFERROR(__xludf.DUMMYFUNCTION("""COMPUTED_VALUE"""),100000.0)</f>
        <v>100000</v>
      </c>
      <c r="I353" s="16"/>
      <c r="J353" s="16"/>
      <c r="K353" s="16"/>
      <c r="L353" s="16"/>
      <c r="M353" s="116">
        <f>IFERROR(__xludf.DUMMYFUNCTION("""COMPUTED_VALUE"""),50000.0)</f>
        <v>50000</v>
      </c>
      <c r="N353" s="116">
        <f>IFERROR(__xludf.DUMMYFUNCTION("""COMPUTED_VALUE"""),50000.0)</f>
        <v>50000</v>
      </c>
      <c r="O353" s="16"/>
      <c r="P353" s="116">
        <f>IFERROR(__xludf.DUMMYFUNCTION("""COMPUTED_VALUE"""),50000.0)</f>
        <v>50000</v>
      </c>
      <c r="Q353" s="116">
        <f>IFERROR(__xludf.DUMMYFUNCTION("""COMPUTED_VALUE"""),50000.0)</f>
        <v>50000</v>
      </c>
      <c r="R353" s="16"/>
      <c r="S353" s="116">
        <f>IFERROR(__xludf.DUMMYFUNCTION("""COMPUTED_VALUE"""),50000.0)</f>
        <v>50000</v>
      </c>
      <c r="T353" s="16"/>
      <c r="U353" s="16"/>
      <c r="V353" s="16"/>
      <c r="W353" s="16"/>
      <c r="X353" s="16"/>
      <c r="Y353" s="16"/>
      <c r="Z353" s="16"/>
      <c r="AA353" s="16"/>
      <c r="AB353" s="16"/>
      <c r="AC353" s="116">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6">
        <f>IFERROR(__xludf.DUMMYFUNCTION("""COMPUTED_VALUE"""),25000.0)</f>
        <v>25000</v>
      </c>
      <c r="I357" s="16"/>
      <c r="J357" s="16"/>
      <c r="K357" s="16"/>
      <c r="L357" s="16"/>
      <c r="M357" s="16"/>
      <c r="N357" s="116">
        <f>IFERROR(__xludf.DUMMYFUNCTION("""COMPUTED_VALUE"""),25000.0)</f>
        <v>25000</v>
      </c>
      <c r="O357" s="16"/>
      <c r="P357" s="16"/>
      <c r="Q357" s="16"/>
      <c r="R357" s="16"/>
      <c r="S357" s="16"/>
      <c r="T357" s="16"/>
      <c r="U357" s="16"/>
      <c r="V357" s="16"/>
      <c r="W357" s="16"/>
      <c r="X357" s="16"/>
      <c r="Y357" s="16"/>
      <c r="Z357" s="16"/>
      <c r="AA357" s="16"/>
      <c r="AB357" s="16"/>
      <c r="AC357" s="116">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6">
        <f>IFERROR(__xludf.DUMMYFUNCTION("""COMPUTED_VALUE"""),25000.0)</f>
        <v>25000</v>
      </c>
      <c r="I358" s="16"/>
      <c r="J358" s="16"/>
      <c r="K358" s="16"/>
      <c r="L358" s="16"/>
      <c r="M358" s="16"/>
      <c r="N358" s="116">
        <f>IFERROR(__xludf.DUMMYFUNCTION("""COMPUTED_VALUE"""),25000.0)</f>
        <v>25000</v>
      </c>
      <c r="O358" s="16"/>
      <c r="P358" s="16"/>
      <c r="Q358" s="16"/>
      <c r="R358" s="16"/>
      <c r="S358" s="16"/>
      <c r="T358" s="16"/>
      <c r="U358" s="16"/>
      <c r="V358" s="16"/>
      <c r="W358" s="16"/>
      <c r="X358" s="16"/>
      <c r="Y358" s="16"/>
      <c r="Z358" s="16"/>
      <c r="AA358" s="16"/>
      <c r="AB358" s="16"/>
      <c r="AC358" s="116">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6">
        <f>IFERROR(__xludf.DUMMYFUNCTION("""COMPUTED_VALUE"""),50000.0)</f>
        <v>50000</v>
      </c>
      <c r="I359" s="16"/>
      <c r="J359" s="16"/>
      <c r="K359" s="16"/>
      <c r="L359" s="16"/>
      <c r="M359" s="16"/>
      <c r="N359" s="116">
        <f>IFERROR(__xludf.DUMMYFUNCTION("""COMPUTED_VALUE"""),50000.0)</f>
        <v>50000</v>
      </c>
      <c r="O359" s="16"/>
      <c r="P359" s="16"/>
      <c r="Q359" s="16"/>
      <c r="R359" s="16"/>
      <c r="S359" s="16"/>
      <c r="T359" s="16"/>
      <c r="U359" s="16"/>
      <c r="V359" s="16"/>
      <c r="W359" s="16"/>
      <c r="X359" s="16"/>
      <c r="Y359" s="16"/>
      <c r="Z359" s="16"/>
      <c r="AA359" s="16"/>
      <c r="AB359" s="16"/>
      <c r="AC359" s="116">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6">
        <f>IFERROR(__xludf.DUMMYFUNCTION("""COMPUTED_VALUE"""),50000.0)</f>
        <v>50000</v>
      </c>
      <c r="I360" s="16"/>
      <c r="J360" s="16"/>
      <c r="K360" s="16"/>
      <c r="L360" s="16"/>
      <c r="M360" s="16"/>
      <c r="N360" s="116">
        <f>IFERROR(__xludf.DUMMYFUNCTION("""COMPUTED_VALUE"""),50000.0)</f>
        <v>50000</v>
      </c>
      <c r="O360" s="16"/>
      <c r="P360" s="16"/>
      <c r="Q360" s="16"/>
      <c r="R360" s="16"/>
      <c r="S360" s="16"/>
      <c r="T360" s="16"/>
      <c r="U360" s="16"/>
      <c r="V360" s="16"/>
      <c r="W360" s="16"/>
      <c r="X360" s="16"/>
      <c r="Y360" s="16"/>
      <c r="Z360" s="16"/>
      <c r="AA360" s="16"/>
      <c r="AB360" s="16"/>
      <c r="AC360" s="116">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6">
        <f>IFERROR(__xludf.DUMMYFUNCTION("""COMPUTED_VALUE"""),100000.0)</f>
        <v>100000</v>
      </c>
      <c r="I361" s="16"/>
      <c r="J361" s="16"/>
      <c r="K361" s="16"/>
      <c r="L361" s="16"/>
      <c r="M361" s="16"/>
      <c r="N361" s="116">
        <f>IFERROR(__xludf.DUMMYFUNCTION("""COMPUTED_VALUE"""),100000.0)</f>
        <v>100000</v>
      </c>
      <c r="O361" s="116">
        <f>IFERROR(__xludf.DUMMYFUNCTION("""COMPUTED_VALUE"""),100000.0)</f>
        <v>100000</v>
      </c>
      <c r="P361" s="16"/>
      <c r="Q361" s="16"/>
      <c r="R361" s="16"/>
      <c r="S361" s="16"/>
      <c r="T361" s="16"/>
      <c r="U361" s="16"/>
      <c r="V361" s="16"/>
      <c r="W361" s="16"/>
      <c r="X361" s="16"/>
      <c r="Y361" s="16"/>
      <c r="Z361" s="16"/>
      <c r="AA361" s="16"/>
      <c r="AB361" s="16"/>
      <c r="AC361" s="116">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6">
        <f>IFERROR(__xludf.DUMMYFUNCTION("""COMPUTED_VALUE"""),100000.0)</f>
        <v>100000</v>
      </c>
      <c r="I362" s="16"/>
      <c r="J362" s="16"/>
      <c r="K362" s="16"/>
      <c r="L362" s="16"/>
      <c r="M362" s="16"/>
      <c r="N362" s="116">
        <f>IFERROR(__xludf.DUMMYFUNCTION("""COMPUTED_VALUE"""),100000.0)</f>
        <v>100000</v>
      </c>
      <c r="O362" s="116">
        <f>IFERROR(__xludf.DUMMYFUNCTION("""COMPUTED_VALUE"""),100000.0)</f>
        <v>100000</v>
      </c>
      <c r="P362" s="16"/>
      <c r="Q362" s="16"/>
      <c r="R362" s="16"/>
      <c r="S362" s="16"/>
      <c r="T362" s="16"/>
      <c r="U362" s="16"/>
      <c r="V362" s="16"/>
      <c r="W362" s="16"/>
      <c r="X362" s="16"/>
      <c r="Y362" s="16"/>
      <c r="Z362" s="16"/>
      <c r="AA362" s="16"/>
      <c r="AB362" s="16"/>
      <c r="AC362" s="116">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6">
        <f>IFERROR(__xludf.DUMMYFUNCTION("""COMPUTED_VALUE"""),50000.0)</f>
        <v>50000</v>
      </c>
      <c r="I363" s="16"/>
      <c r="J363" s="16"/>
      <c r="K363" s="16"/>
      <c r="L363" s="16"/>
      <c r="M363" s="16"/>
      <c r="N363" s="116">
        <f>IFERROR(__xludf.DUMMYFUNCTION("""COMPUTED_VALUE"""),50000.0)</f>
        <v>50000</v>
      </c>
      <c r="O363" s="116">
        <f>IFERROR(__xludf.DUMMYFUNCTION("""COMPUTED_VALUE"""),50000.0)</f>
        <v>50000</v>
      </c>
      <c r="P363" s="16"/>
      <c r="Q363" s="16"/>
      <c r="R363" s="16"/>
      <c r="S363" s="16"/>
      <c r="T363" s="16"/>
      <c r="U363" s="16"/>
      <c r="V363" s="16"/>
      <c r="W363" s="16"/>
      <c r="X363" s="16"/>
      <c r="Y363" s="16"/>
      <c r="Z363" s="16"/>
      <c r="AA363" s="16"/>
      <c r="AB363" s="16"/>
      <c r="AC363" s="116">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6">
        <f>IFERROR(__xludf.DUMMYFUNCTION("""COMPUTED_VALUE"""),25000.0)</f>
        <v>25000</v>
      </c>
      <c r="I364" s="16"/>
      <c r="J364" s="16"/>
      <c r="K364" s="16"/>
      <c r="L364" s="16"/>
      <c r="M364" s="16"/>
      <c r="N364" s="116">
        <f>IFERROR(__xludf.DUMMYFUNCTION("""COMPUTED_VALUE"""),25000.0)</f>
        <v>25000</v>
      </c>
      <c r="O364" s="16"/>
      <c r="P364" s="16"/>
      <c r="Q364" s="16"/>
      <c r="R364" s="16"/>
      <c r="S364" s="16"/>
      <c r="T364" s="16"/>
      <c r="U364" s="16"/>
      <c r="V364" s="16"/>
      <c r="W364" s="16"/>
      <c r="X364" s="16"/>
      <c r="Y364" s="16"/>
      <c r="Z364" s="16"/>
      <c r="AA364" s="16"/>
      <c r="AB364" s="16"/>
      <c r="AC364" s="116">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6">
        <f>IFERROR(__xludf.DUMMYFUNCTION("""COMPUTED_VALUE"""),25000.0)</f>
        <v>25000</v>
      </c>
      <c r="I365" s="16"/>
      <c r="J365" s="16"/>
      <c r="K365" s="16"/>
      <c r="L365" s="16"/>
      <c r="M365" s="16"/>
      <c r="N365" s="116">
        <f>IFERROR(__xludf.DUMMYFUNCTION("""COMPUTED_VALUE"""),25000.0)</f>
        <v>25000</v>
      </c>
      <c r="O365" s="16"/>
      <c r="P365" s="16"/>
      <c r="Q365" s="16"/>
      <c r="R365" s="16"/>
      <c r="S365" s="16"/>
      <c r="T365" s="16"/>
      <c r="U365" s="16"/>
      <c r="V365" s="16"/>
      <c r="W365" s="16"/>
      <c r="X365" s="16"/>
      <c r="Y365" s="16"/>
      <c r="Z365" s="16"/>
      <c r="AA365" s="16"/>
      <c r="AB365" s="16"/>
      <c r="AC365" s="116">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6">
        <f>IFERROR(__xludf.DUMMYFUNCTION("""COMPUTED_VALUE"""),100000.0)</f>
        <v>100000</v>
      </c>
      <c r="I366" s="16"/>
      <c r="J366" s="16"/>
      <c r="K366" s="16"/>
      <c r="L366" s="16"/>
      <c r="M366" s="16"/>
      <c r="N366" s="116">
        <f>IFERROR(__xludf.DUMMYFUNCTION("""COMPUTED_VALUE"""),100000.0)</f>
        <v>100000</v>
      </c>
      <c r="O366" s="116">
        <f>IFERROR(__xludf.DUMMYFUNCTION("""COMPUTED_VALUE"""),100000.0)</f>
        <v>100000</v>
      </c>
      <c r="P366" s="16"/>
      <c r="Q366" s="16"/>
      <c r="R366" s="16"/>
      <c r="S366" s="16"/>
      <c r="T366" s="16"/>
      <c r="U366" s="16"/>
      <c r="V366" s="16"/>
      <c r="W366" s="16"/>
      <c r="X366" s="16"/>
      <c r="Y366" s="16"/>
      <c r="Z366" s="16"/>
      <c r="AA366" s="16"/>
      <c r="AB366" s="16"/>
      <c r="AC366" s="116">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6">
        <f>IFERROR(__xludf.DUMMYFUNCTION("""COMPUTED_VALUE"""),100000.0)</f>
        <v>100000</v>
      </c>
      <c r="I367" s="16"/>
      <c r="J367" s="16"/>
      <c r="K367" s="16"/>
      <c r="L367" s="16"/>
      <c r="M367" s="16"/>
      <c r="N367" s="116">
        <f>IFERROR(__xludf.DUMMYFUNCTION("""COMPUTED_VALUE"""),100000.0)</f>
        <v>100000</v>
      </c>
      <c r="O367" s="116">
        <f>IFERROR(__xludf.DUMMYFUNCTION("""COMPUTED_VALUE"""),100000.0)</f>
        <v>100000</v>
      </c>
      <c r="P367" s="16"/>
      <c r="Q367" s="16"/>
      <c r="R367" s="16"/>
      <c r="S367" s="16"/>
      <c r="T367" s="16"/>
      <c r="U367" s="16"/>
      <c r="V367" s="16"/>
      <c r="W367" s="16"/>
      <c r="X367" s="16"/>
      <c r="Y367" s="16"/>
      <c r="Z367" s="16"/>
      <c r="AA367" s="16"/>
      <c r="AB367" s="16"/>
      <c r="AC367" s="116">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6">
        <f>IFERROR(__xludf.DUMMYFUNCTION("""COMPUTED_VALUE"""),100000.0)</f>
        <v>100000</v>
      </c>
      <c r="I368" s="16"/>
      <c r="J368" s="16"/>
      <c r="K368" s="16"/>
      <c r="L368" s="16"/>
      <c r="M368" s="16"/>
      <c r="N368" s="116">
        <f>IFERROR(__xludf.DUMMYFUNCTION("""COMPUTED_VALUE"""),100000.0)</f>
        <v>100000</v>
      </c>
      <c r="O368" s="116">
        <f>IFERROR(__xludf.DUMMYFUNCTION("""COMPUTED_VALUE"""),100000.0)</f>
        <v>100000</v>
      </c>
      <c r="P368" s="16"/>
      <c r="Q368" s="16"/>
      <c r="R368" s="16"/>
      <c r="S368" s="16"/>
      <c r="T368" s="16"/>
      <c r="U368" s="16"/>
      <c r="V368" s="16"/>
      <c r="W368" s="16"/>
      <c r="X368" s="16"/>
      <c r="Y368" s="16"/>
      <c r="Z368" s="16"/>
      <c r="AA368" s="16"/>
      <c r="AB368" s="16"/>
      <c r="AC368" s="116">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6">
        <f>IFERROR(__xludf.DUMMYFUNCTION("""COMPUTED_VALUE"""),100000.0)</f>
        <v>100000</v>
      </c>
      <c r="I369" s="16"/>
      <c r="J369" s="16"/>
      <c r="K369" s="16"/>
      <c r="L369" s="16"/>
      <c r="M369" s="16"/>
      <c r="N369" s="116">
        <f>IFERROR(__xludf.DUMMYFUNCTION("""COMPUTED_VALUE"""),100000.0)</f>
        <v>100000</v>
      </c>
      <c r="O369" s="116">
        <f>IFERROR(__xludf.DUMMYFUNCTION("""COMPUTED_VALUE"""),100000.0)</f>
        <v>100000</v>
      </c>
      <c r="P369" s="16"/>
      <c r="Q369" s="16"/>
      <c r="R369" s="16"/>
      <c r="S369" s="16"/>
      <c r="T369" s="16"/>
      <c r="U369" s="16"/>
      <c r="V369" s="16"/>
      <c r="W369" s="16"/>
      <c r="X369" s="16"/>
      <c r="Y369" s="16"/>
      <c r="Z369" s="16"/>
      <c r="AA369" s="16"/>
      <c r="AB369" s="16"/>
      <c r="AC369" s="116">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6">
        <f>IFERROR(__xludf.DUMMYFUNCTION("""COMPUTED_VALUE"""),25000.0)</f>
        <v>25000</v>
      </c>
      <c r="I370" s="16"/>
      <c r="J370" s="16"/>
      <c r="K370" s="16"/>
      <c r="L370" s="16"/>
      <c r="M370" s="16"/>
      <c r="N370" s="116">
        <f>IFERROR(__xludf.DUMMYFUNCTION("""COMPUTED_VALUE"""),25000.0)</f>
        <v>25000</v>
      </c>
      <c r="O370" s="16"/>
      <c r="P370" s="16"/>
      <c r="Q370" s="16"/>
      <c r="R370" s="16"/>
      <c r="S370" s="16"/>
      <c r="T370" s="16"/>
      <c r="U370" s="16"/>
      <c r="V370" s="16"/>
      <c r="W370" s="16"/>
      <c r="X370" s="16"/>
      <c r="Y370" s="16"/>
      <c r="Z370" s="16"/>
      <c r="AA370" s="16"/>
      <c r="AB370" s="16"/>
      <c r="AC370" s="116">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6">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6">
        <f>IFERROR(__xludf.DUMMYFUNCTION("""COMPUTED_VALUE"""),10000.0)</f>
        <v>10000</v>
      </c>
      <c r="I372" s="16"/>
      <c r="J372" s="16"/>
      <c r="K372" s="16"/>
      <c r="L372" s="16"/>
      <c r="M372" s="16"/>
      <c r="N372" s="16"/>
      <c r="O372" s="16"/>
      <c r="P372" s="16"/>
      <c r="Q372" s="16"/>
      <c r="R372" s="16"/>
      <c r="S372" s="16"/>
      <c r="T372" s="16"/>
      <c r="U372" s="16"/>
      <c r="V372" s="16"/>
      <c r="W372" s="16"/>
      <c r="X372" s="16"/>
      <c r="Y372" s="116">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6">
        <f>IFERROR(__xludf.DUMMYFUNCTION("""COMPUTED_VALUE"""),40000.0)</f>
        <v>40000</v>
      </c>
      <c r="I373" s="16"/>
      <c r="J373" s="16"/>
      <c r="K373" s="16"/>
      <c r="L373" s="16"/>
      <c r="M373" s="16"/>
      <c r="N373" s="16"/>
      <c r="O373" s="16"/>
      <c r="P373" s="16"/>
      <c r="Q373" s="16"/>
      <c r="R373" s="16"/>
      <c r="S373" s="16"/>
      <c r="T373" s="16"/>
      <c r="U373" s="16"/>
      <c r="V373" s="16"/>
      <c r="W373" s="16"/>
      <c r="X373" s="16"/>
      <c r="Y373" s="116">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6">
        <f>IFERROR(__xludf.DUMMYFUNCTION("""COMPUTED_VALUE"""),30000.0)</f>
        <v>30000</v>
      </c>
      <c r="I374" s="16"/>
      <c r="J374" s="16"/>
      <c r="K374" s="16"/>
      <c r="L374" s="16"/>
      <c r="M374" s="16"/>
      <c r="N374" s="16"/>
      <c r="O374" s="16"/>
      <c r="P374" s="16"/>
      <c r="Q374" s="16"/>
      <c r="R374" s="16"/>
      <c r="S374" s="16"/>
      <c r="T374" s="16"/>
      <c r="U374" s="16"/>
      <c r="V374" s="16"/>
      <c r="W374" s="16"/>
      <c r="X374" s="16"/>
      <c r="Y374" s="116">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6">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6">
        <f>IFERROR(__xludf.DUMMYFUNCTION("""COMPUTED_VALUE"""),10000.0)</f>
        <v>10000</v>
      </c>
      <c r="I413" s="16"/>
      <c r="J413" s="16"/>
      <c r="K413" s="116">
        <f>IFERROR(__xludf.DUMMYFUNCTION("""COMPUTED_VALUE"""),10000.0)</f>
        <v>10000</v>
      </c>
      <c r="L413" s="116">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6">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6">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6">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6">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6">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6">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6">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6">
        <f>IFERROR(__xludf.DUMMYFUNCTION("""COMPUTED_VALUE"""),50000.0)</f>
        <v>50000</v>
      </c>
      <c r="I420" s="116">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6">
        <f>IFERROR(__xludf.DUMMYFUNCTION("""COMPUTED_VALUE"""),50000.0)</f>
        <v>50000</v>
      </c>
      <c r="I421" s="116">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6">
        <f>IFERROR(__xludf.DUMMYFUNCTION("""COMPUTED_VALUE"""),50000.0)</f>
        <v>50000</v>
      </c>
      <c r="I422" s="116">
        <f>IFERROR(__xludf.DUMMYFUNCTION("""COMPUTED_VALUE"""),50000.0)</f>
        <v>50000</v>
      </c>
      <c r="J422" s="16"/>
      <c r="K422" s="16"/>
      <c r="L422" s="16"/>
      <c r="M422" s="16"/>
      <c r="N422" s="16"/>
      <c r="O422" s="16"/>
      <c r="P422" s="16"/>
      <c r="Q422" s="116">
        <f>IFERROR(__xludf.DUMMYFUNCTION("""COMPUTED_VALUE"""),50000.0)</f>
        <v>50000</v>
      </c>
      <c r="R422" s="16"/>
      <c r="S422" s="16"/>
      <c r="T422" s="16"/>
      <c r="U422" s="16"/>
      <c r="V422" s="16"/>
      <c r="W422" s="16"/>
      <c r="X422" s="16"/>
      <c r="Y422" s="116">
        <f>IFERROR(__xludf.DUMMYFUNCTION("""COMPUTED_VALUE"""),25000.0)</f>
        <v>25000</v>
      </c>
      <c r="Z422" s="16"/>
      <c r="AA422" s="16"/>
      <c r="AB422" s="16"/>
      <c r="AC422" s="116">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6">
        <f>IFERROR(__xludf.DUMMYFUNCTION("""COMPUTED_VALUE"""),50000.0)</f>
        <v>50000</v>
      </c>
      <c r="I423" s="116">
        <f>IFERROR(__xludf.DUMMYFUNCTION("""COMPUTED_VALUE"""),50000.0)</f>
        <v>50000</v>
      </c>
      <c r="J423" s="16"/>
      <c r="K423" s="16"/>
      <c r="L423" s="16"/>
      <c r="M423" s="16"/>
      <c r="N423" s="16"/>
      <c r="O423" s="16"/>
      <c r="P423" s="16"/>
      <c r="Q423" s="116">
        <f>IFERROR(__xludf.DUMMYFUNCTION("""COMPUTED_VALUE"""),50000.0)</f>
        <v>50000</v>
      </c>
      <c r="R423" s="16"/>
      <c r="S423" s="16"/>
      <c r="T423" s="16"/>
      <c r="U423" s="16"/>
      <c r="V423" s="16"/>
      <c r="W423" s="16"/>
      <c r="X423" s="16"/>
      <c r="Y423" s="116">
        <f>IFERROR(__xludf.DUMMYFUNCTION("""COMPUTED_VALUE"""),25000.0)</f>
        <v>25000</v>
      </c>
      <c r="Z423" s="16"/>
      <c r="AA423" s="16"/>
      <c r="AB423" s="16"/>
      <c r="AC423" s="116">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6">
        <f>IFERROR(__xludf.DUMMYFUNCTION("""COMPUTED_VALUE"""),50000.0)</f>
        <v>50000</v>
      </c>
      <c r="I424" s="116">
        <f>IFERROR(__xludf.DUMMYFUNCTION("""COMPUTED_VALUE"""),50000.0)</f>
        <v>50000</v>
      </c>
      <c r="J424" s="16"/>
      <c r="K424" s="16"/>
      <c r="L424" s="16"/>
      <c r="M424" s="16"/>
      <c r="N424" s="16"/>
      <c r="O424" s="16"/>
      <c r="P424" s="16"/>
      <c r="Q424" s="116">
        <f>IFERROR(__xludf.DUMMYFUNCTION("""COMPUTED_VALUE"""),50000.0)</f>
        <v>50000</v>
      </c>
      <c r="R424" s="16"/>
      <c r="S424" s="16"/>
      <c r="T424" s="16"/>
      <c r="U424" s="16"/>
      <c r="V424" s="16"/>
      <c r="W424" s="16"/>
      <c r="X424" s="16"/>
      <c r="Y424" s="116">
        <f>IFERROR(__xludf.DUMMYFUNCTION("""COMPUTED_VALUE"""),25000.0)</f>
        <v>25000</v>
      </c>
      <c r="Z424" s="16"/>
      <c r="AA424" s="16"/>
      <c r="AB424" s="16"/>
      <c r="AC424" s="116">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6">
        <f>IFERROR(__xludf.DUMMYFUNCTION("""COMPUTED_VALUE"""),50000.0)</f>
        <v>50000</v>
      </c>
      <c r="I425" s="116">
        <f>IFERROR(__xludf.DUMMYFUNCTION("""COMPUTED_VALUE"""),50000.0)</f>
        <v>50000</v>
      </c>
      <c r="J425" s="16"/>
      <c r="K425" s="16"/>
      <c r="L425" s="16"/>
      <c r="M425" s="16"/>
      <c r="N425" s="16"/>
      <c r="O425" s="16"/>
      <c r="P425" s="16"/>
      <c r="Q425" s="116">
        <f>IFERROR(__xludf.DUMMYFUNCTION("""COMPUTED_VALUE"""),50000.0)</f>
        <v>50000</v>
      </c>
      <c r="R425" s="16"/>
      <c r="S425" s="16"/>
      <c r="T425" s="16"/>
      <c r="U425" s="16"/>
      <c r="V425" s="16"/>
      <c r="W425" s="16"/>
      <c r="X425" s="16"/>
      <c r="Y425" s="116">
        <f>IFERROR(__xludf.DUMMYFUNCTION("""COMPUTED_VALUE"""),25000.0)</f>
        <v>25000</v>
      </c>
      <c r="Z425" s="16"/>
      <c r="AA425" s="16"/>
      <c r="AB425" s="16"/>
      <c r="AC425" s="116">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6">
        <f>IFERROR(__xludf.DUMMYFUNCTION("""COMPUTED_VALUE"""),50000.0)</f>
        <v>50000</v>
      </c>
      <c r="I426" s="116">
        <f>IFERROR(__xludf.DUMMYFUNCTION("""COMPUTED_VALUE"""),50000.0)</f>
        <v>50000</v>
      </c>
      <c r="J426" s="16"/>
      <c r="K426" s="16"/>
      <c r="L426" s="16"/>
      <c r="M426" s="16"/>
      <c r="N426" s="16"/>
      <c r="O426" s="16"/>
      <c r="P426" s="16"/>
      <c r="Q426" s="116">
        <f>IFERROR(__xludf.DUMMYFUNCTION("""COMPUTED_VALUE"""),50000.0)</f>
        <v>50000</v>
      </c>
      <c r="R426" s="16"/>
      <c r="S426" s="16"/>
      <c r="T426" s="16"/>
      <c r="U426" s="16"/>
      <c r="V426" s="16"/>
      <c r="W426" s="16"/>
      <c r="X426" s="16"/>
      <c r="Y426" s="116">
        <f>IFERROR(__xludf.DUMMYFUNCTION("""COMPUTED_VALUE"""),25000.0)</f>
        <v>25000</v>
      </c>
      <c r="Z426" s="16"/>
      <c r="AA426" s="16"/>
      <c r="AB426" s="16"/>
      <c r="AC426" s="116">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6">
        <f>IFERROR(__xludf.DUMMYFUNCTION("""COMPUTED_VALUE"""),50000.0)</f>
        <v>50000</v>
      </c>
      <c r="I427" s="116">
        <f>IFERROR(__xludf.DUMMYFUNCTION("""COMPUTED_VALUE"""),50000.0)</f>
        <v>50000</v>
      </c>
      <c r="J427" s="16"/>
      <c r="K427" s="16"/>
      <c r="L427" s="16"/>
      <c r="M427" s="16"/>
      <c r="N427" s="16"/>
      <c r="O427" s="16"/>
      <c r="P427" s="16"/>
      <c r="Q427" s="116">
        <f>IFERROR(__xludf.DUMMYFUNCTION("""COMPUTED_VALUE"""),50000.0)</f>
        <v>50000</v>
      </c>
      <c r="R427" s="16"/>
      <c r="S427" s="16"/>
      <c r="T427" s="16"/>
      <c r="U427" s="16"/>
      <c r="V427" s="16"/>
      <c r="W427" s="16"/>
      <c r="X427" s="16"/>
      <c r="Y427" s="116">
        <f>IFERROR(__xludf.DUMMYFUNCTION("""COMPUTED_VALUE"""),25000.0)</f>
        <v>25000</v>
      </c>
      <c r="Z427" s="16"/>
      <c r="AA427" s="16"/>
      <c r="AB427" s="16"/>
      <c r="AC427" s="116">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6">
        <f>IFERROR(__xludf.DUMMYFUNCTION("""COMPUTED_VALUE"""),50000.0)</f>
        <v>50000</v>
      </c>
      <c r="I428" s="116">
        <f>IFERROR(__xludf.DUMMYFUNCTION("""COMPUTED_VALUE"""),50000.0)</f>
        <v>50000</v>
      </c>
      <c r="J428" s="16"/>
      <c r="K428" s="16"/>
      <c r="L428" s="16"/>
      <c r="M428" s="16"/>
      <c r="N428" s="16"/>
      <c r="O428" s="16"/>
      <c r="P428" s="16"/>
      <c r="Q428" s="116">
        <f>IFERROR(__xludf.DUMMYFUNCTION("""COMPUTED_VALUE"""),50000.0)</f>
        <v>50000</v>
      </c>
      <c r="R428" s="16"/>
      <c r="S428" s="16"/>
      <c r="T428" s="16"/>
      <c r="U428" s="16"/>
      <c r="V428" s="16"/>
      <c r="W428" s="16"/>
      <c r="X428" s="16"/>
      <c r="Y428" s="116">
        <f>IFERROR(__xludf.DUMMYFUNCTION("""COMPUTED_VALUE"""),25000.0)</f>
        <v>25000</v>
      </c>
      <c r="Z428" s="16"/>
      <c r="AA428" s="16"/>
      <c r="AB428" s="16"/>
      <c r="AC428" s="116">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6">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6">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6">
        <f>IFERROR(__xludf.DUMMYFUNCTION("""COMPUTED_VALUE"""),20000.0)</f>
        <v>20000</v>
      </c>
      <c r="I431" s="116">
        <f>IFERROR(__xludf.DUMMYFUNCTION("""COMPUTED_VALUE"""),20000.0)</f>
        <v>20000</v>
      </c>
      <c r="J431" s="16"/>
      <c r="K431" s="116">
        <f>IFERROR(__xludf.DUMMYFUNCTION("""COMPUTED_VALUE"""),20000.0)</f>
        <v>20000</v>
      </c>
      <c r="L431" s="116">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6">
        <f>IFERROR(__xludf.DUMMYFUNCTION("""COMPUTED_VALUE"""),10000.0)</f>
        <v>10000</v>
      </c>
      <c r="I432" s="116">
        <f>IFERROR(__xludf.DUMMYFUNCTION("""COMPUTED_VALUE"""),10000.0)</f>
        <v>10000</v>
      </c>
      <c r="J432" s="116">
        <f>IFERROR(__xludf.DUMMYFUNCTION("""COMPUTED_VALUE"""),10000.0)</f>
        <v>10000</v>
      </c>
      <c r="K432" s="116">
        <f>IFERROR(__xludf.DUMMYFUNCTION("""COMPUTED_VALUE"""),10000.0)</f>
        <v>10000</v>
      </c>
      <c r="L432" s="116">
        <f>IFERROR(__xludf.DUMMYFUNCTION("""COMPUTED_VALUE"""),10000.0)</f>
        <v>10000</v>
      </c>
      <c r="M432" s="116">
        <f>IFERROR(__xludf.DUMMYFUNCTION("""COMPUTED_VALUE"""),10000.0)</f>
        <v>10000</v>
      </c>
      <c r="N432" s="116">
        <f>IFERROR(__xludf.DUMMYFUNCTION("""COMPUTED_VALUE"""),10000.0)</f>
        <v>10000</v>
      </c>
      <c r="O432" s="116">
        <f>IFERROR(__xludf.DUMMYFUNCTION("""COMPUTED_VALUE"""),10000.0)</f>
        <v>10000</v>
      </c>
      <c r="P432" s="116">
        <f>IFERROR(__xludf.DUMMYFUNCTION("""COMPUTED_VALUE"""),10000.0)</f>
        <v>10000</v>
      </c>
      <c r="Q432" s="116">
        <f>IFERROR(__xludf.DUMMYFUNCTION("""COMPUTED_VALUE"""),10000.0)</f>
        <v>10000</v>
      </c>
      <c r="R432" s="116">
        <f>IFERROR(__xludf.DUMMYFUNCTION("""COMPUTED_VALUE"""),10000.0)</f>
        <v>10000</v>
      </c>
      <c r="S432" s="116">
        <f>IFERROR(__xludf.DUMMYFUNCTION("""COMPUTED_VALUE"""),10000.0)</f>
        <v>10000</v>
      </c>
      <c r="T432" s="16"/>
      <c r="U432" s="16"/>
      <c r="V432" s="16"/>
      <c r="W432" s="16"/>
      <c r="X432" s="116">
        <f>IFERROR(__xludf.DUMMYFUNCTION("""COMPUTED_VALUE"""),10000.0)</f>
        <v>10000</v>
      </c>
      <c r="Y432" s="116">
        <f>IFERROR(__xludf.DUMMYFUNCTION("""COMPUTED_VALUE"""),10000.0)</f>
        <v>10000</v>
      </c>
      <c r="Z432" s="16"/>
      <c r="AA432" s="16"/>
      <c r="AB432" s="116">
        <f>IFERROR(__xludf.DUMMYFUNCTION("""COMPUTED_VALUE"""),10000.0)</f>
        <v>10000</v>
      </c>
      <c r="AC432" s="116">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6">
        <f>IFERROR(__xludf.DUMMYFUNCTION("""COMPUTED_VALUE"""),10000.0)</f>
        <v>10000</v>
      </c>
      <c r="I433" s="116">
        <f>IFERROR(__xludf.DUMMYFUNCTION("""COMPUTED_VALUE"""),10000.0)</f>
        <v>10000</v>
      </c>
      <c r="J433" s="116">
        <f>IFERROR(__xludf.DUMMYFUNCTION("""COMPUTED_VALUE"""),10000.0)</f>
        <v>10000</v>
      </c>
      <c r="K433" s="116">
        <f>IFERROR(__xludf.DUMMYFUNCTION("""COMPUTED_VALUE"""),10000.0)</f>
        <v>10000</v>
      </c>
      <c r="L433" s="116">
        <f>IFERROR(__xludf.DUMMYFUNCTION("""COMPUTED_VALUE"""),10000.0)</f>
        <v>10000</v>
      </c>
      <c r="M433" s="116">
        <f>IFERROR(__xludf.DUMMYFUNCTION("""COMPUTED_VALUE"""),10000.0)</f>
        <v>10000</v>
      </c>
      <c r="N433" s="116">
        <f>IFERROR(__xludf.DUMMYFUNCTION("""COMPUTED_VALUE"""),10000.0)</f>
        <v>10000</v>
      </c>
      <c r="O433" s="116">
        <f>IFERROR(__xludf.DUMMYFUNCTION("""COMPUTED_VALUE"""),10000.0)</f>
        <v>10000</v>
      </c>
      <c r="P433" s="116">
        <f>IFERROR(__xludf.DUMMYFUNCTION("""COMPUTED_VALUE"""),10000.0)</f>
        <v>10000</v>
      </c>
      <c r="Q433" s="116">
        <f>IFERROR(__xludf.DUMMYFUNCTION("""COMPUTED_VALUE"""),10000.0)</f>
        <v>10000</v>
      </c>
      <c r="R433" s="116">
        <f>IFERROR(__xludf.DUMMYFUNCTION("""COMPUTED_VALUE"""),10000.0)</f>
        <v>10000</v>
      </c>
      <c r="S433" s="116">
        <f>IFERROR(__xludf.DUMMYFUNCTION("""COMPUTED_VALUE"""),10000.0)</f>
        <v>10000</v>
      </c>
      <c r="T433" s="16"/>
      <c r="U433" s="16"/>
      <c r="V433" s="16"/>
      <c r="W433" s="16"/>
      <c r="X433" s="116">
        <f>IFERROR(__xludf.DUMMYFUNCTION("""COMPUTED_VALUE"""),10000.0)</f>
        <v>10000</v>
      </c>
      <c r="Y433" s="116">
        <f>IFERROR(__xludf.DUMMYFUNCTION("""COMPUTED_VALUE"""),10000.0)</f>
        <v>10000</v>
      </c>
      <c r="Z433" s="16"/>
      <c r="AA433" s="16"/>
      <c r="AB433" s="116">
        <f>IFERROR(__xludf.DUMMYFUNCTION("""COMPUTED_VALUE"""),10000.0)</f>
        <v>10000</v>
      </c>
      <c r="AC433" s="116">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6">
        <f>IFERROR(__xludf.DUMMYFUNCTION("""COMPUTED_VALUE"""),10000.0)</f>
        <v>10000</v>
      </c>
      <c r="I434" s="116">
        <f>IFERROR(__xludf.DUMMYFUNCTION("""COMPUTED_VALUE"""),10000.0)</f>
        <v>10000</v>
      </c>
      <c r="J434" s="116">
        <f>IFERROR(__xludf.DUMMYFUNCTION("""COMPUTED_VALUE"""),10000.0)</f>
        <v>10000</v>
      </c>
      <c r="K434" s="116">
        <f>IFERROR(__xludf.DUMMYFUNCTION("""COMPUTED_VALUE"""),10000.0)</f>
        <v>10000</v>
      </c>
      <c r="L434" s="116">
        <f>IFERROR(__xludf.DUMMYFUNCTION("""COMPUTED_VALUE"""),10000.0)</f>
        <v>10000</v>
      </c>
      <c r="M434" s="116">
        <f>IFERROR(__xludf.DUMMYFUNCTION("""COMPUTED_VALUE"""),10000.0)</f>
        <v>10000</v>
      </c>
      <c r="N434" s="116">
        <f>IFERROR(__xludf.DUMMYFUNCTION("""COMPUTED_VALUE"""),10000.0)</f>
        <v>10000</v>
      </c>
      <c r="O434" s="116">
        <f>IFERROR(__xludf.DUMMYFUNCTION("""COMPUTED_VALUE"""),10000.0)</f>
        <v>10000</v>
      </c>
      <c r="P434" s="116">
        <f>IFERROR(__xludf.DUMMYFUNCTION("""COMPUTED_VALUE"""),10000.0)</f>
        <v>10000</v>
      </c>
      <c r="Q434" s="116">
        <f>IFERROR(__xludf.DUMMYFUNCTION("""COMPUTED_VALUE"""),10000.0)</f>
        <v>10000</v>
      </c>
      <c r="R434" s="116">
        <f>IFERROR(__xludf.DUMMYFUNCTION("""COMPUTED_VALUE"""),10000.0)</f>
        <v>10000</v>
      </c>
      <c r="S434" s="116">
        <f>IFERROR(__xludf.DUMMYFUNCTION("""COMPUTED_VALUE"""),10000.0)</f>
        <v>10000</v>
      </c>
      <c r="T434" s="16"/>
      <c r="U434" s="16"/>
      <c r="V434" s="16"/>
      <c r="W434" s="16"/>
      <c r="X434" s="116">
        <f>IFERROR(__xludf.DUMMYFUNCTION("""COMPUTED_VALUE"""),10000.0)</f>
        <v>10000</v>
      </c>
      <c r="Y434" s="116">
        <f>IFERROR(__xludf.DUMMYFUNCTION("""COMPUTED_VALUE"""),10000.0)</f>
        <v>10000</v>
      </c>
      <c r="Z434" s="16"/>
      <c r="AA434" s="16"/>
      <c r="AB434" s="116">
        <f>IFERROR(__xludf.DUMMYFUNCTION("""COMPUTED_VALUE"""),10000.0)</f>
        <v>10000</v>
      </c>
      <c r="AC434" s="116">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6">
        <f>IFERROR(__xludf.DUMMYFUNCTION("""COMPUTED_VALUE"""),10000.0)</f>
        <v>10000</v>
      </c>
      <c r="I435" s="116">
        <f>IFERROR(__xludf.DUMMYFUNCTION("""COMPUTED_VALUE"""),10000.0)</f>
        <v>10000</v>
      </c>
      <c r="J435" s="116">
        <f>IFERROR(__xludf.DUMMYFUNCTION("""COMPUTED_VALUE"""),10000.0)</f>
        <v>10000</v>
      </c>
      <c r="K435" s="116">
        <f>IFERROR(__xludf.DUMMYFUNCTION("""COMPUTED_VALUE"""),10000.0)</f>
        <v>10000</v>
      </c>
      <c r="L435" s="116">
        <f>IFERROR(__xludf.DUMMYFUNCTION("""COMPUTED_VALUE"""),10000.0)</f>
        <v>10000</v>
      </c>
      <c r="M435" s="116">
        <f>IFERROR(__xludf.DUMMYFUNCTION("""COMPUTED_VALUE"""),10000.0)</f>
        <v>10000</v>
      </c>
      <c r="N435" s="116">
        <f>IFERROR(__xludf.DUMMYFUNCTION("""COMPUTED_VALUE"""),10000.0)</f>
        <v>10000</v>
      </c>
      <c r="O435" s="116">
        <f>IFERROR(__xludf.DUMMYFUNCTION("""COMPUTED_VALUE"""),10000.0)</f>
        <v>10000</v>
      </c>
      <c r="P435" s="116">
        <f>IFERROR(__xludf.DUMMYFUNCTION("""COMPUTED_VALUE"""),10000.0)</f>
        <v>10000</v>
      </c>
      <c r="Q435" s="116">
        <f>IFERROR(__xludf.DUMMYFUNCTION("""COMPUTED_VALUE"""),10000.0)</f>
        <v>10000</v>
      </c>
      <c r="R435" s="116">
        <f>IFERROR(__xludf.DUMMYFUNCTION("""COMPUTED_VALUE"""),10000.0)</f>
        <v>10000</v>
      </c>
      <c r="S435" s="116">
        <f>IFERROR(__xludf.DUMMYFUNCTION("""COMPUTED_VALUE"""),10000.0)</f>
        <v>10000</v>
      </c>
      <c r="T435" s="16"/>
      <c r="U435" s="16"/>
      <c r="V435" s="16"/>
      <c r="W435" s="16"/>
      <c r="X435" s="116">
        <f>IFERROR(__xludf.DUMMYFUNCTION("""COMPUTED_VALUE"""),10000.0)</f>
        <v>10000</v>
      </c>
      <c r="Y435" s="116">
        <f>IFERROR(__xludf.DUMMYFUNCTION("""COMPUTED_VALUE"""),10000.0)</f>
        <v>10000</v>
      </c>
      <c r="Z435" s="16"/>
      <c r="AA435" s="16"/>
      <c r="AB435" s="116">
        <f>IFERROR(__xludf.DUMMYFUNCTION("""COMPUTED_VALUE"""),10000.0)</f>
        <v>10000</v>
      </c>
      <c r="AC435" s="116">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6">
        <f>IFERROR(__xludf.DUMMYFUNCTION("""COMPUTED_VALUE"""),10000.0)</f>
        <v>10000</v>
      </c>
      <c r="I436" s="116">
        <f>IFERROR(__xludf.DUMMYFUNCTION("""COMPUTED_VALUE"""),10000.0)</f>
        <v>10000</v>
      </c>
      <c r="J436" s="116">
        <f>IFERROR(__xludf.DUMMYFUNCTION("""COMPUTED_VALUE"""),10000.0)</f>
        <v>10000</v>
      </c>
      <c r="K436" s="116">
        <f>IFERROR(__xludf.DUMMYFUNCTION("""COMPUTED_VALUE"""),10000.0)</f>
        <v>10000</v>
      </c>
      <c r="L436" s="116">
        <f>IFERROR(__xludf.DUMMYFUNCTION("""COMPUTED_VALUE"""),10000.0)</f>
        <v>10000</v>
      </c>
      <c r="M436" s="116">
        <f>IFERROR(__xludf.DUMMYFUNCTION("""COMPUTED_VALUE"""),10000.0)</f>
        <v>10000</v>
      </c>
      <c r="N436" s="116">
        <f>IFERROR(__xludf.DUMMYFUNCTION("""COMPUTED_VALUE"""),10000.0)</f>
        <v>10000</v>
      </c>
      <c r="O436" s="116">
        <f>IFERROR(__xludf.DUMMYFUNCTION("""COMPUTED_VALUE"""),10000.0)</f>
        <v>10000</v>
      </c>
      <c r="P436" s="116">
        <f>IFERROR(__xludf.DUMMYFUNCTION("""COMPUTED_VALUE"""),10000.0)</f>
        <v>10000</v>
      </c>
      <c r="Q436" s="116">
        <f>IFERROR(__xludf.DUMMYFUNCTION("""COMPUTED_VALUE"""),10000.0)</f>
        <v>10000</v>
      </c>
      <c r="R436" s="116">
        <f>IFERROR(__xludf.DUMMYFUNCTION("""COMPUTED_VALUE"""),10000.0)</f>
        <v>10000</v>
      </c>
      <c r="S436" s="116">
        <f>IFERROR(__xludf.DUMMYFUNCTION("""COMPUTED_VALUE"""),10000.0)</f>
        <v>10000</v>
      </c>
      <c r="T436" s="16"/>
      <c r="U436" s="16"/>
      <c r="V436" s="16"/>
      <c r="W436" s="16"/>
      <c r="X436" s="116">
        <f>IFERROR(__xludf.DUMMYFUNCTION("""COMPUTED_VALUE"""),10000.0)</f>
        <v>10000</v>
      </c>
      <c r="Y436" s="116">
        <f>IFERROR(__xludf.DUMMYFUNCTION("""COMPUTED_VALUE"""),10000.0)</f>
        <v>10000</v>
      </c>
      <c r="Z436" s="16"/>
      <c r="AA436" s="16"/>
      <c r="AB436" s="116">
        <f>IFERROR(__xludf.DUMMYFUNCTION("""COMPUTED_VALUE"""),10000.0)</f>
        <v>10000</v>
      </c>
      <c r="AC436" s="116">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6">
        <f>IFERROR(__xludf.DUMMYFUNCTION("""COMPUTED_VALUE"""),20000.0)</f>
        <v>20000</v>
      </c>
      <c r="J437" s="16"/>
      <c r="K437" s="16"/>
      <c r="L437" s="16"/>
      <c r="M437" s="16"/>
      <c r="N437" s="16"/>
      <c r="O437" s="116">
        <f>IFERROR(__xludf.DUMMYFUNCTION("""COMPUTED_VALUE"""),20000.0)</f>
        <v>20000</v>
      </c>
      <c r="P437" s="16"/>
      <c r="Q437" s="16"/>
      <c r="R437" s="116">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6">
        <f>IFERROR(__xludf.DUMMYFUNCTION("""COMPUTED_VALUE"""),150000.0)</f>
        <v>150000</v>
      </c>
      <c r="I438" s="16"/>
      <c r="J438" s="16"/>
      <c r="K438" s="16"/>
      <c r="L438" s="16"/>
      <c r="M438" s="16"/>
      <c r="N438" s="16"/>
      <c r="O438" s="116">
        <f>IFERROR(__xludf.DUMMYFUNCTION("""COMPUTED_VALUE"""),150000.0)</f>
        <v>150000</v>
      </c>
      <c r="P438" s="16"/>
      <c r="Q438" s="16"/>
      <c r="R438" s="16"/>
      <c r="S438" s="16"/>
      <c r="T438" s="16"/>
      <c r="U438" s="16"/>
      <c r="V438" s="16"/>
      <c r="W438" s="16"/>
      <c r="X438" s="16"/>
      <c r="Y438" s="16"/>
      <c r="Z438" s="16"/>
      <c r="AA438" s="16"/>
      <c r="AB438" s="16"/>
      <c r="AC438" s="116">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6">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6">
        <f>IFERROR(__xludf.DUMMYFUNCTION("""COMPUTED_VALUE"""),25000.0)</f>
        <v>25000</v>
      </c>
      <c r="I440" s="16"/>
      <c r="J440" s="16"/>
      <c r="K440" s="116">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6">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6">
        <f>IFERROR(__xludf.DUMMYFUNCTION("""COMPUTED_VALUE"""),50000.0)</f>
        <v>50000</v>
      </c>
      <c r="I442" s="116">
        <f>IFERROR(__xludf.DUMMYFUNCTION("""COMPUTED_VALUE"""),20000.0)</f>
        <v>20000</v>
      </c>
      <c r="J442" s="16"/>
      <c r="K442" s="16"/>
      <c r="L442" s="16"/>
      <c r="M442" s="16"/>
      <c r="N442" s="16"/>
      <c r="O442" s="116">
        <f>IFERROR(__xludf.DUMMYFUNCTION("""COMPUTED_VALUE"""),20000.0)</f>
        <v>20000</v>
      </c>
      <c r="P442" s="116">
        <f>IFERROR(__xludf.DUMMYFUNCTION("""COMPUTED_VALUE"""),20000.0)</f>
        <v>20000</v>
      </c>
      <c r="Q442" s="16"/>
      <c r="R442" s="116">
        <f>IFERROR(__xludf.DUMMYFUNCTION("""COMPUTED_VALUE"""),20000.0)</f>
        <v>20000</v>
      </c>
      <c r="S442" s="16"/>
      <c r="T442" s="16"/>
      <c r="U442" s="16"/>
      <c r="V442" s="116">
        <f>IFERROR(__xludf.DUMMYFUNCTION("""COMPUTED_VALUE"""),20000.0)</f>
        <v>20000</v>
      </c>
      <c r="W442" s="116">
        <f>IFERROR(__xludf.DUMMYFUNCTION("""COMPUTED_VALUE"""),20000.0)</f>
        <v>20000</v>
      </c>
      <c r="X442" s="116">
        <f>IFERROR(__xludf.DUMMYFUNCTION("""COMPUTED_VALUE"""),20000.0)</f>
        <v>20000</v>
      </c>
      <c r="Y442" s="116">
        <f>IFERROR(__xludf.DUMMYFUNCTION("""COMPUTED_VALUE"""),20000.0)</f>
        <v>20000</v>
      </c>
      <c r="Z442" s="16"/>
      <c r="AA442" s="16"/>
      <c r="AB442" s="16"/>
      <c r="AC442" s="116">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6">
        <f>IFERROR(__xludf.DUMMYFUNCTION("""COMPUTED_VALUE"""),50000.0)</f>
        <v>50000</v>
      </c>
      <c r="I443" s="116">
        <f>IFERROR(__xludf.DUMMYFUNCTION("""COMPUTED_VALUE"""),20000.0)</f>
        <v>20000</v>
      </c>
      <c r="J443" s="16"/>
      <c r="K443" s="16"/>
      <c r="L443" s="16"/>
      <c r="M443" s="16"/>
      <c r="N443" s="16"/>
      <c r="O443" s="116">
        <f>IFERROR(__xludf.DUMMYFUNCTION("""COMPUTED_VALUE"""),20000.0)</f>
        <v>20000</v>
      </c>
      <c r="P443" s="116">
        <f>IFERROR(__xludf.DUMMYFUNCTION("""COMPUTED_VALUE"""),20000.0)</f>
        <v>20000</v>
      </c>
      <c r="Q443" s="16"/>
      <c r="R443" s="116">
        <f>IFERROR(__xludf.DUMMYFUNCTION("""COMPUTED_VALUE"""),20000.0)</f>
        <v>20000</v>
      </c>
      <c r="S443" s="16"/>
      <c r="T443" s="16"/>
      <c r="U443" s="16"/>
      <c r="V443" s="116">
        <f>IFERROR(__xludf.DUMMYFUNCTION("""COMPUTED_VALUE"""),20000.0)</f>
        <v>20000</v>
      </c>
      <c r="W443" s="116">
        <f>IFERROR(__xludf.DUMMYFUNCTION("""COMPUTED_VALUE"""),20000.0)</f>
        <v>20000</v>
      </c>
      <c r="X443" s="116">
        <f>IFERROR(__xludf.DUMMYFUNCTION("""COMPUTED_VALUE"""),20000.0)</f>
        <v>20000</v>
      </c>
      <c r="Y443" s="116">
        <f>IFERROR(__xludf.DUMMYFUNCTION("""COMPUTED_VALUE"""),20000.0)</f>
        <v>20000</v>
      </c>
      <c r="Z443" s="16"/>
      <c r="AA443" s="16"/>
      <c r="AB443" s="16"/>
      <c r="AC443" s="116">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6">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6">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6">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6">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6">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6">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6">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6">
        <f>IFERROR(__xludf.DUMMYFUNCTION("""COMPUTED_VALUE"""),100000.0)</f>
        <v>100000</v>
      </c>
      <c r="I452" s="16"/>
      <c r="J452" s="16"/>
      <c r="K452" s="16"/>
      <c r="L452" s="16"/>
      <c r="M452" s="16"/>
      <c r="N452" s="16">
        <f>IFERROR(__xludf.DUMMYFUNCTION("""COMPUTED_VALUE"""),10000.0)</f>
        <v>10000</v>
      </c>
      <c r="O452" s="16"/>
      <c r="P452" s="16"/>
      <c r="Q452" s="116">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6">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6">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6">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6">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6">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6">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6">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6">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6">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6">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6">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6">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6">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6">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6">
        <f>IFERROR(__xludf.DUMMYFUNCTION("""COMPUTED_VALUE"""),10000.0)</f>
        <v>10000</v>
      </c>
      <c r="I460" s="16"/>
      <c r="J460" s="16"/>
      <c r="K460" s="16"/>
      <c r="L460" s="16"/>
      <c r="M460" s="16"/>
      <c r="N460" s="16">
        <f>IFERROR(__xludf.DUMMYFUNCTION("""COMPUTED_VALUE"""),10000.0)</f>
        <v>10000</v>
      </c>
      <c r="O460" s="16"/>
      <c r="P460" s="16"/>
      <c r="Q460" s="116">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6">
        <f>IFERROR(__xludf.DUMMYFUNCTION("""COMPUTED_VALUE"""),1000.0)</f>
        <v>1000</v>
      </c>
      <c r="I461" s="16"/>
      <c r="J461" s="16"/>
      <c r="K461" s="16"/>
      <c r="L461" s="16"/>
      <c r="M461" s="16"/>
      <c r="N461" s="16">
        <f>IFERROR(__xludf.DUMMYFUNCTION("""COMPUTED_VALUE"""),10000.0)</f>
        <v>10000</v>
      </c>
      <c r="O461" s="16"/>
      <c r="P461" s="16"/>
      <c r="Q461" s="116">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6">
        <f>IFERROR(__xludf.DUMMYFUNCTION("""COMPUTED_VALUE"""),20000.0)</f>
        <v>20000</v>
      </c>
      <c r="I462" s="16"/>
      <c r="J462" s="16"/>
      <c r="K462" s="16"/>
      <c r="L462" s="16"/>
      <c r="M462" s="16"/>
      <c r="N462" s="16">
        <f>IFERROR(__xludf.DUMMYFUNCTION("""COMPUTED_VALUE"""),20000.0)</f>
        <v>20000</v>
      </c>
      <c r="O462" s="16"/>
      <c r="P462" s="16"/>
      <c r="Q462" s="116">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6">
        <f>IFERROR(__xludf.DUMMYFUNCTION("""COMPUTED_VALUE"""),10000.0)</f>
        <v>10000</v>
      </c>
      <c r="I463" s="16"/>
      <c r="J463" s="16"/>
      <c r="K463" s="16"/>
      <c r="L463" s="16"/>
      <c r="M463" s="16"/>
      <c r="N463" s="16">
        <f>IFERROR(__xludf.DUMMYFUNCTION("""COMPUTED_VALUE"""),10000.0)</f>
        <v>10000</v>
      </c>
      <c r="O463" s="16"/>
      <c r="P463" s="16"/>
      <c r="Q463" s="116">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6">
        <f>IFERROR(__xludf.DUMMYFUNCTION("""COMPUTED_VALUE"""),10000.0)</f>
        <v>10000</v>
      </c>
      <c r="I464" s="16"/>
      <c r="J464" s="16"/>
      <c r="K464" s="16"/>
      <c r="L464" s="16"/>
      <c r="M464" s="16"/>
      <c r="N464" s="16">
        <f>IFERROR(__xludf.DUMMYFUNCTION("""COMPUTED_VALUE"""),10000.0)</f>
        <v>10000</v>
      </c>
      <c r="O464" s="16"/>
      <c r="P464" s="16"/>
      <c r="Q464" s="116">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6">
        <f>IFERROR(__xludf.DUMMYFUNCTION("""COMPUTED_VALUE"""),10000.0)</f>
        <v>10000</v>
      </c>
      <c r="I465" s="16"/>
      <c r="J465" s="16"/>
      <c r="K465" s="16"/>
      <c r="L465" s="16"/>
      <c r="M465" s="16"/>
      <c r="N465" s="16">
        <f>IFERROR(__xludf.DUMMYFUNCTION("""COMPUTED_VALUE"""),10000.0)</f>
        <v>10000</v>
      </c>
      <c r="O465" s="16"/>
      <c r="P465" s="16"/>
      <c r="Q465" s="116">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6">
        <f>IFERROR(__xludf.DUMMYFUNCTION("""COMPUTED_VALUE"""),10000.0)</f>
        <v>10000</v>
      </c>
      <c r="I466" s="16"/>
      <c r="J466" s="16"/>
      <c r="K466" s="16"/>
      <c r="L466" s="16"/>
      <c r="M466" s="16"/>
      <c r="N466" s="16">
        <f>IFERROR(__xludf.DUMMYFUNCTION("""COMPUTED_VALUE"""),10000.0)</f>
        <v>10000</v>
      </c>
      <c r="O466" s="16"/>
      <c r="P466" s="16"/>
      <c r="Q466" s="116">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6">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6">
        <f>IFERROR(__xludf.DUMMYFUNCTION("""COMPUTED_VALUE"""),10000.0)</f>
        <v>10000</v>
      </c>
      <c r="I469" s="116">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6">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6">
        <f>IFERROR(__xludf.DUMMYFUNCTION("""COMPUTED_VALUE"""),15000.0)</f>
        <v>15000</v>
      </c>
      <c r="I470" s="116">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6">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6">
        <f>IFERROR(__xludf.DUMMYFUNCTION("""COMPUTED_VALUE"""),25000.0)</f>
        <v>25000</v>
      </c>
      <c r="I471" s="16"/>
      <c r="J471" s="16"/>
      <c r="K471" s="16"/>
      <c r="L471" s="16"/>
      <c r="M471" s="16"/>
      <c r="N471" s="16">
        <f>IFERROR(__xludf.DUMMYFUNCTION("""COMPUTED_VALUE"""),25000.0)</f>
        <v>25000</v>
      </c>
      <c r="O471" s="16"/>
      <c r="P471" s="16"/>
      <c r="Q471" s="116">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6">
        <f>IFERROR(__xludf.DUMMYFUNCTION("""COMPUTED_VALUE"""),25000.0)</f>
        <v>25000</v>
      </c>
      <c r="I472" s="16"/>
      <c r="J472" s="16"/>
      <c r="K472" s="16"/>
      <c r="L472" s="16"/>
      <c r="M472" s="16"/>
      <c r="N472" s="16">
        <f>IFERROR(__xludf.DUMMYFUNCTION("""COMPUTED_VALUE"""),25000.0)</f>
        <v>25000</v>
      </c>
      <c r="O472" s="16"/>
      <c r="P472" s="16"/>
      <c r="Q472" s="116">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6">
        <f>IFERROR(__xludf.DUMMYFUNCTION("""COMPUTED_VALUE"""),25000.0)</f>
        <v>25000</v>
      </c>
      <c r="I473" s="16"/>
      <c r="J473" s="16"/>
      <c r="K473" s="16"/>
      <c r="L473" s="16"/>
      <c r="M473" s="16"/>
      <c r="N473" s="16">
        <f>IFERROR(__xludf.DUMMYFUNCTION("""COMPUTED_VALUE"""),25000.0)</f>
        <v>25000</v>
      </c>
      <c r="O473" s="16"/>
      <c r="P473" s="16"/>
      <c r="Q473" s="116">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6">
        <f>IFERROR(__xludf.DUMMYFUNCTION("""COMPUTED_VALUE"""),25000.0)</f>
        <v>25000</v>
      </c>
      <c r="I474" s="16"/>
      <c r="J474" s="16"/>
      <c r="K474" s="16"/>
      <c r="L474" s="16"/>
      <c r="M474" s="16"/>
      <c r="N474" s="16">
        <f>IFERROR(__xludf.DUMMYFUNCTION("""COMPUTED_VALUE"""),25000.0)</f>
        <v>25000</v>
      </c>
      <c r="O474" s="16"/>
      <c r="P474" s="16"/>
      <c r="Q474" s="116">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6">
        <f>IFERROR(__xludf.DUMMYFUNCTION("""COMPUTED_VALUE"""),25000.0)</f>
        <v>25000</v>
      </c>
      <c r="I475" s="16"/>
      <c r="J475" s="16"/>
      <c r="K475" s="16"/>
      <c r="L475" s="16"/>
      <c r="M475" s="16"/>
      <c r="N475" s="16">
        <f>IFERROR(__xludf.DUMMYFUNCTION("""COMPUTED_VALUE"""),25000.0)</f>
        <v>25000</v>
      </c>
      <c r="O475" s="16"/>
      <c r="P475" s="16"/>
      <c r="Q475" s="116">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6">
        <f>IFERROR(__xludf.DUMMYFUNCTION("""COMPUTED_VALUE"""),25000.0)</f>
        <v>25000</v>
      </c>
      <c r="I476" s="16"/>
      <c r="J476" s="16"/>
      <c r="K476" s="16"/>
      <c r="L476" s="16"/>
      <c r="M476" s="16"/>
      <c r="N476" s="16">
        <f>IFERROR(__xludf.DUMMYFUNCTION("""COMPUTED_VALUE"""),25000.0)</f>
        <v>25000</v>
      </c>
      <c r="O476" s="16"/>
      <c r="P476" s="16"/>
      <c r="Q476" s="116">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6">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6">
        <f>IFERROR(__xludf.DUMMYFUNCTION("""COMPUTED_VALUE"""),50000.0)</f>
        <v>50000</v>
      </c>
      <c r="I478" s="16"/>
      <c r="J478" s="16"/>
      <c r="K478" s="16"/>
      <c r="L478" s="16"/>
      <c r="M478" s="16"/>
      <c r="N478" s="16"/>
      <c r="O478" s="116">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6">
        <f>IFERROR(__xludf.DUMMYFUNCTION("""COMPUTED_VALUE"""),25000.0)</f>
        <v>25000</v>
      </c>
      <c r="I482" s="16"/>
      <c r="J482" s="16"/>
      <c r="K482" s="16"/>
      <c r="L482" s="16"/>
      <c r="M482" s="116">
        <f>IFERROR(__xludf.DUMMYFUNCTION("""COMPUTED_VALUE"""),100000.0)</f>
        <v>100000</v>
      </c>
      <c r="N482" s="16"/>
      <c r="O482" s="16"/>
      <c r="P482" s="16"/>
      <c r="Q482" s="16"/>
      <c r="R482" s="16"/>
      <c r="S482" s="116">
        <f>IFERROR(__xludf.DUMMYFUNCTION("""COMPUTED_VALUE"""),15000.0)</f>
        <v>15000</v>
      </c>
      <c r="T482" s="16"/>
      <c r="U482" s="16"/>
      <c r="V482" s="16"/>
      <c r="W482" s="16"/>
      <c r="X482" s="16"/>
      <c r="Y482" s="16"/>
      <c r="Z482" s="16"/>
      <c r="AA482" s="16"/>
      <c r="AB482" s="16"/>
      <c r="AC482" s="116">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6">
        <f>IFERROR(__xludf.DUMMYFUNCTION("""COMPUTED_VALUE"""),250000.0)</f>
        <v>250000</v>
      </c>
      <c r="I483" s="16"/>
      <c r="J483" s="16"/>
      <c r="K483" s="16"/>
      <c r="L483" s="16"/>
      <c r="M483" s="16"/>
      <c r="N483" s="16"/>
      <c r="O483" s="16"/>
      <c r="P483" s="16"/>
      <c r="Q483" s="16"/>
      <c r="R483" s="16"/>
      <c r="S483" s="16"/>
      <c r="T483" s="16"/>
      <c r="U483" s="16"/>
      <c r="V483" s="16"/>
      <c r="W483" s="16"/>
      <c r="X483" s="16"/>
      <c r="Y483" s="16"/>
      <c r="Z483" s="116">
        <f>IFERROR(__xludf.DUMMYFUNCTION("""COMPUTED_VALUE"""),250000.0)</f>
        <v>250000</v>
      </c>
      <c r="AA483" s="16"/>
      <c r="AB483" s="16"/>
      <c r="AC483" s="116">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6">
        <f>IFERROR(__xludf.DUMMYFUNCTION("""COMPUTED_VALUE"""),10000.0)</f>
        <v>10000</v>
      </c>
      <c r="I485" s="116">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6">
        <f>IFERROR(__xludf.DUMMYFUNCTION("""COMPUTED_VALUE"""),50000.0)</f>
        <v>50000</v>
      </c>
      <c r="I486" s="116">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6">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6">
        <f>IFERROR(__xludf.DUMMYFUNCTION("""COMPUTED_VALUE"""),50000.0)</f>
        <v>50000</v>
      </c>
      <c r="I488" s="116">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6">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6">
        <f>IFERROR(__xludf.DUMMYFUNCTION("""COMPUTED_VALUE"""),50000.0)</f>
        <v>50000</v>
      </c>
      <c r="I489" s="116">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6">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6">
        <f>IFERROR(__xludf.DUMMYFUNCTION("""COMPUTED_VALUE"""),50000.0)</f>
        <v>50000</v>
      </c>
      <c r="I490" s="116">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6">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6">
        <f>IFERROR(__xludf.DUMMYFUNCTION("""COMPUTED_VALUE"""),50000.0)</f>
        <v>50000</v>
      </c>
      <c r="I491" s="116">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6">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6">
        <f>IFERROR(__xludf.DUMMYFUNCTION("""COMPUTED_VALUE"""),100000.0)</f>
        <v>100000</v>
      </c>
      <c r="I492" s="116">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6">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6">
        <f>IFERROR(__xludf.DUMMYFUNCTION("""COMPUTED_VALUE"""),20000.0)</f>
        <v>20000</v>
      </c>
      <c r="I494" s="116">
        <f>IFERROR(__xludf.DUMMYFUNCTION("""COMPUTED_VALUE"""),5000.0)</f>
        <v>5000</v>
      </c>
      <c r="J494" s="16"/>
      <c r="K494" s="16"/>
      <c r="L494" s="16"/>
      <c r="M494" s="116">
        <f>IFERROR(__xludf.DUMMYFUNCTION("""COMPUTED_VALUE"""),35000.0)</f>
        <v>35000</v>
      </c>
      <c r="N494" s="16"/>
      <c r="O494" s="16"/>
      <c r="P494" s="16"/>
      <c r="Q494" s="16"/>
      <c r="R494" s="16"/>
      <c r="S494" s="16"/>
      <c r="T494" s="16"/>
      <c r="U494" s="16"/>
      <c r="V494" s="16"/>
      <c r="W494" s="16"/>
      <c r="X494" s="16"/>
      <c r="Y494" s="16"/>
      <c r="Z494" s="16"/>
      <c r="AA494" s="16"/>
      <c r="AB494" s="16"/>
      <c r="AC494" s="116">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6">
        <f>IFERROR(__xludf.DUMMYFUNCTION("""COMPUTED_VALUE"""),20000.0)</f>
        <v>20000</v>
      </c>
      <c r="I495" s="116">
        <f>IFERROR(__xludf.DUMMYFUNCTION("""COMPUTED_VALUE"""),5000.0)</f>
        <v>5000</v>
      </c>
      <c r="J495" s="16"/>
      <c r="K495" s="16"/>
      <c r="L495" s="16"/>
      <c r="M495" s="116">
        <f>IFERROR(__xludf.DUMMYFUNCTION("""COMPUTED_VALUE"""),35000.0)</f>
        <v>35000</v>
      </c>
      <c r="N495" s="16"/>
      <c r="O495" s="16"/>
      <c r="P495" s="16"/>
      <c r="Q495" s="16"/>
      <c r="R495" s="16"/>
      <c r="S495" s="16"/>
      <c r="T495" s="16"/>
      <c r="U495" s="16"/>
      <c r="V495" s="16"/>
      <c r="W495" s="16"/>
      <c r="X495" s="16"/>
      <c r="Y495" s="16"/>
      <c r="Z495" s="16"/>
      <c r="AA495" s="16"/>
      <c r="AB495" s="16"/>
      <c r="AC495" s="116">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6">
        <f>IFERROR(__xludf.DUMMYFUNCTION("""COMPUTED_VALUE"""),50000.0)</f>
        <v>50000</v>
      </c>
      <c r="I496" s="116">
        <f>IFERROR(__xludf.DUMMYFUNCTION("""COMPUTED_VALUE"""),20000.0)</f>
        <v>20000</v>
      </c>
      <c r="J496" s="16"/>
      <c r="K496" s="16"/>
      <c r="L496" s="16"/>
      <c r="M496" s="116">
        <f>IFERROR(__xludf.DUMMYFUNCTION("""COMPUTED_VALUE"""),70000.0)</f>
        <v>70000</v>
      </c>
      <c r="N496" s="16"/>
      <c r="O496" s="16"/>
      <c r="P496" s="16"/>
      <c r="Q496" s="16"/>
      <c r="R496" s="16"/>
      <c r="S496" s="16"/>
      <c r="T496" s="16"/>
      <c r="U496" s="16"/>
      <c r="V496" s="16"/>
      <c r="W496" s="16"/>
      <c r="X496" s="16"/>
      <c r="Y496" s="16"/>
      <c r="Z496" s="16"/>
      <c r="AA496" s="16"/>
      <c r="AB496" s="16"/>
      <c r="AC496" s="116">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6">
        <f>IFERROR(__xludf.DUMMYFUNCTION("""COMPUTED_VALUE"""),20000.0)</f>
        <v>20000</v>
      </c>
      <c r="I497" s="116">
        <f>IFERROR(__xludf.DUMMYFUNCTION("""COMPUTED_VALUE"""),5000.0)</f>
        <v>5000</v>
      </c>
      <c r="J497" s="16"/>
      <c r="K497" s="16"/>
      <c r="L497" s="16"/>
      <c r="M497" s="116">
        <f>IFERROR(__xludf.DUMMYFUNCTION("""COMPUTED_VALUE"""),35000.0)</f>
        <v>35000</v>
      </c>
      <c r="N497" s="16"/>
      <c r="O497" s="16"/>
      <c r="P497" s="16"/>
      <c r="Q497" s="16"/>
      <c r="R497" s="16"/>
      <c r="S497" s="16"/>
      <c r="T497" s="16"/>
      <c r="U497" s="16"/>
      <c r="V497" s="16"/>
      <c r="W497" s="16"/>
      <c r="X497" s="16"/>
      <c r="Y497" s="16"/>
      <c r="Z497" s="16"/>
      <c r="AA497" s="16"/>
      <c r="AB497" s="16"/>
      <c r="AC497" s="116">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6">
        <f>IFERROR(__xludf.DUMMYFUNCTION("""COMPUTED_VALUE"""),20000.0)</f>
        <v>20000</v>
      </c>
      <c r="I498" s="116">
        <f>IFERROR(__xludf.DUMMYFUNCTION("""COMPUTED_VALUE"""),5000.0)</f>
        <v>5000</v>
      </c>
      <c r="J498" s="16"/>
      <c r="K498" s="16"/>
      <c r="L498" s="16"/>
      <c r="M498" s="116">
        <f>IFERROR(__xludf.DUMMYFUNCTION("""COMPUTED_VALUE"""),35000.0)</f>
        <v>35000</v>
      </c>
      <c r="N498" s="16"/>
      <c r="O498" s="16"/>
      <c r="P498" s="16"/>
      <c r="Q498" s="16"/>
      <c r="R498" s="16"/>
      <c r="S498" s="16"/>
      <c r="T498" s="16"/>
      <c r="U498" s="16"/>
      <c r="V498" s="16"/>
      <c r="W498" s="16"/>
      <c r="X498" s="16"/>
      <c r="Y498" s="16"/>
      <c r="Z498" s="16"/>
      <c r="AA498" s="16"/>
      <c r="AB498" s="16"/>
      <c r="AC498" s="116">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6">
        <f>IFERROR(__xludf.DUMMYFUNCTION("""COMPUTED_VALUE"""),20000.0)</f>
        <v>20000</v>
      </c>
      <c r="I499" s="116">
        <f>IFERROR(__xludf.DUMMYFUNCTION("""COMPUTED_VALUE"""),5000.0)</f>
        <v>5000</v>
      </c>
      <c r="J499" s="16"/>
      <c r="K499" s="16"/>
      <c r="L499" s="16"/>
      <c r="M499" s="116">
        <f>IFERROR(__xludf.DUMMYFUNCTION("""COMPUTED_VALUE"""),35000.0)</f>
        <v>35000</v>
      </c>
      <c r="N499" s="16"/>
      <c r="O499" s="16"/>
      <c r="P499" s="16"/>
      <c r="Q499" s="16"/>
      <c r="R499" s="16"/>
      <c r="S499" s="16"/>
      <c r="T499" s="16"/>
      <c r="U499" s="16"/>
      <c r="V499" s="16"/>
      <c r="W499" s="16"/>
      <c r="X499" s="16"/>
      <c r="Y499" s="16"/>
      <c r="Z499" s="16"/>
      <c r="AA499" s="16"/>
      <c r="AB499" s="16"/>
      <c r="AC499" s="116">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6">
        <f>IFERROR(__xludf.DUMMYFUNCTION("""COMPUTED_VALUE"""),100000.0)</f>
        <v>100000</v>
      </c>
      <c r="I502" s="116">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6">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6">
        <f>IFERROR(__xludf.DUMMYFUNCTION("""COMPUTED_VALUE"""),100000.0)</f>
        <v>100000</v>
      </c>
      <c r="I503" s="116">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6">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6">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6">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6">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6">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6">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6">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6">
        <f>IFERROR(__xludf.DUMMYFUNCTION("""COMPUTED_VALUE"""),20000.0)</f>
        <v>20000</v>
      </c>
      <c r="I529" s="16"/>
      <c r="J529" s="16"/>
      <c r="K529" s="16"/>
      <c r="L529" s="16"/>
      <c r="M529" s="16"/>
      <c r="N529" s="16"/>
      <c r="O529" s="16"/>
      <c r="P529" s="16"/>
      <c r="Q529" s="16"/>
      <c r="R529" s="116">
        <f>IFERROR(__xludf.DUMMYFUNCTION("""COMPUTED_VALUE"""),20000.0)</f>
        <v>20000</v>
      </c>
      <c r="S529" s="116">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6">
        <f>IFERROR(__xludf.DUMMYFUNCTION("""COMPUTED_VALUE"""),50000.0)</f>
        <v>50000</v>
      </c>
      <c r="I530" s="16"/>
      <c r="J530" s="16"/>
      <c r="K530" s="116">
        <f>IFERROR(__xludf.DUMMYFUNCTION("""COMPUTED_VALUE"""),25000.0)</f>
        <v>25000</v>
      </c>
      <c r="L530" s="16"/>
      <c r="M530" s="16"/>
      <c r="N530" s="16"/>
      <c r="O530" s="16"/>
      <c r="P530" s="16"/>
      <c r="Q530" s="116">
        <f>IFERROR(__xludf.DUMMYFUNCTION("""COMPUTED_VALUE"""),25000.0)</f>
        <v>25000</v>
      </c>
      <c r="R530" s="16"/>
      <c r="S530" s="16"/>
      <c r="T530" s="16"/>
      <c r="U530" s="16"/>
      <c r="V530" s="16"/>
      <c r="W530" s="16"/>
      <c r="X530" s="16"/>
      <c r="Y530" s="16"/>
      <c r="Z530" s="16"/>
      <c r="AA530" s="16"/>
      <c r="AB530" s="16"/>
      <c r="AC530" s="116">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6">
        <f>IFERROR(__xludf.DUMMYFUNCTION("""COMPUTED_VALUE"""),20000.0)</f>
        <v>20000</v>
      </c>
      <c r="I531" s="16"/>
      <c r="J531" s="16"/>
      <c r="K531" s="116">
        <f>IFERROR(__xludf.DUMMYFUNCTION("""COMPUTED_VALUE"""),10000.0)</f>
        <v>10000</v>
      </c>
      <c r="L531" s="16"/>
      <c r="M531" s="16"/>
      <c r="N531" s="16"/>
      <c r="O531" s="16"/>
      <c r="P531" s="16"/>
      <c r="Q531" s="116">
        <f>IFERROR(__xludf.DUMMYFUNCTION("""COMPUTED_VALUE"""),10000.0)</f>
        <v>10000</v>
      </c>
      <c r="R531" s="16"/>
      <c r="S531" s="16"/>
      <c r="T531" s="16"/>
      <c r="U531" s="16"/>
      <c r="V531" s="16"/>
      <c r="W531" s="16"/>
      <c r="X531" s="16"/>
      <c r="Y531" s="16"/>
      <c r="Z531" s="16"/>
      <c r="AA531" s="16"/>
      <c r="AB531" s="16"/>
      <c r="AC531" s="116">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6">
        <f>IFERROR(__xludf.DUMMYFUNCTION("""COMPUTED_VALUE"""),20000.0)</f>
        <v>20000</v>
      </c>
      <c r="I532" s="16"/>
      <c r="J532" s="16"/>
      <c r="K532" s="116">
        <f>IFERROR(__xludf.DUMMYFUNCTION("""COMPUTED_VALUE"""),10000.0)</f>
        <v>10000</v>
      </c>
      <c r="L532" s="16"/>
      <c r="M532" s="16"/>
      <c r="N532" s="16"/>
      <c r="O532" s="16"/>
      <c r="P532" s="16"/>
      <c r="Q532" s="116">
        <f>IFERROR(__xludf.DUMMYFUNCTION("""COMPUTED_VALUE"""),10000.0)</f>
        <v>10000</v>
      </c>
      <c r="R532" s="16"/>
      <c r="S532" s="16"/>
      <c r="T532" s="16"/>
      <c r="U532" s="16"/>
      <c r="V532" s="16"/>
      <c r="W532" s="16"/>
      <c r="X532" s="16"/>
      <c r="Y532" s="16"/>
      <c r="Z532" s="16"/>
      <c r="AA532" s="16"/>
      <c r="AB532" s="16"/>
      <c r="AC532" s="116">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6">
        <f>IFERROR(__xludf.DUMMYFUNCTION("""COMPUTED_VALUE"""),20000.0)</f>
        <v>20000</v>
      </c>
      <c r="I533" s="16"/>
      <c r="J533" s="16"/>
      <c r="K533" s="116">
        <f>IFERROR(__xludf.DUMMYFUNCTION("""COMPUTED_VALUE"""),10000.0)</f>
        <v>10000</v>
      </c>
      <c r="L533" s="16"/>
      <c r="M533" s="16"/>
      <c r="N533" s="16"/>
      <c r="O533" s="16"/>
      <c r="P533" s="16"/>
      <c r="Q533" s="116">
        <f>IFERROR(__xludf.DUMMYFUNCTION("""COMPUTED_VALUE"""),10000.0)</f>
        <v>10000</v>
      </c>
      <c r="R533" s="16"/>
      <c r="S533" s="16"/>
      <c r="T533" s="16"/>
      <c r="U533" s="16"/>
      <c r="V533" s="16"/>
      <c r="W533" s="16"/>
      <c r="X533" s="16"/>
      <c r="Y533" s="16"/>
      <c r="Z533" s="16"/>
      <c r="AA533" s="16"/>
      <c r="AB533" s="16"/>
      <c r="AC533" s="116">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6">
        <f>IFERROR(__xludf.DUMMYFUNCTION("""COMPUTED_VALUE"""),30000.0)</f>
        <v>30000</v>
      </c>
      <c r="I534" s="16"/>
      <c r="J534" s="16"/>
      <c r="K534" s="116">
        <f>IFERROR(__xludf.DUMMYFUNCTION("""COMPUTED_VALUE"""),15000.0)</f>
        <v>15000</v>
      </c>
      <c r="L534" s="16"/>
      <c r="M534" s="16"/>
      <c r="N534" s="16"/>
      <c r="O534" s="16"/>
      <c r="P534" s="16"/>
      <c r="Q534" s="116">
        <f>IFERROR(__xludf.DUMMYFUNCTION("""COMPUTED_VALUE"""),15000.0)</f>
        <v>15000</v>
      </c>
      <c r="R534" s="16"/>
      <c r="S534" s="16"/>
      <c r="T534" s="16"/>
      <c r="U534" s="16"/>
      <c r="V534" s="16"/>
      <c r="W534" s="16"/>
      <c r="X534" s="16"/>
      <c r="Y534" s="16"/>
      <c r="Z534" s="16"/>
      <c r="AA534" s="16"/>
      <c r="AB534" s="16"/>
      <c r="AC534" s="116">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6">
        <f>IFERROR(__xludf.DUMMYFUNCTION("""COMPUTED_VALUE"""),20000.0)</f>
        <v>20000</v>
      </c>
      <c r="I535" s="16"/>
      <c r="J535" s="16"/>
      <c r="K535" s="116">
        <f>IFERROR(__xludf.DUMMYFUNCTION("""COMPUTED_VALUE"""),10000.0)</f>
        <v>10000</v>
      </c>
      <c r="L535" s="16"/>
      <c r="M535" s="16"/>
      <c r="N535" s="16"/>
      <c r="O535" s="16"/>
      <c r="P535" s="16"/>
      <c r="Q535" s="116">
        <f>IFERROR(__xludf.DUMMYFUNCTION("""COMPUTED_VALUE"""),10000.0)</f>
        <v>10000</v>
      </c>
      <c r="R535" s="16"/>
      <c r="S535" s="16"/>
      <c r="T535" s="16"/>
      <c r="U535" s="16"/>
      <c r="V535" s="16"/>
      <c r="W535" s="16"/>
      <c r="X535" s="16"/>
      <c r="Y535" s="16"/>
      <c r="Z535" s="16"/>
      <c r="AA535" s="16"/>
      <c r="AB535" s="16"/>
      <c r="AC535" s="116">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6">
        <f>IFERROR(__xludf.DUMMYFUNCTION("""COMPUTED_VALUE"""),20000.0)</f>
        <v>20000</v>
      </c>
      <c r="I536" s="16"/>
      <c r="J536" s="16"/>
      <c r="K536" s="116">
        <f>IFERROR(__xludf.DUMMYFUNCTION("""COMPUTED_VALUE"""),10000.0)</f>
        <v>10000</v>
      </c>
      <c r="L536" s="16"/>
      <c r="M536" s="16"/>
      <c r="N536" s="16"/>
      <c r="O536" s="16"/>
      <c r="P536" s="16"/>
      <c r="Q536" s="116">
        <f>IFERROR(__xludf.DUMMYFUNCTION("""COMPUTED_VALUE"""),10000.0)</f>
        <v>10000</v>
      </c>
      <c r="R536" s="16"/>
      <c r="S536" s="16"/>
      <c r="T536" s="16"/>
      <c r="U536" s="16"/>
      <c r="V536" s="16"/>
      <c r="W536" s="16"/>
      <c r="X536" s="16"/>
      <c r="Y536" s="16"/>
      <c r="Z536" s="16"/>
      <c r="AA536" s="16"/>
      <c r="AB536" s="16"/>
      <c r="AC536" s="116">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6">
        <f>IFERROR(__xludf.DUMMYFUNCTION("""COMPUTED_VALUE"""),50000.0)</f>
        <v>50000</v>
      </c>
      <c r="I539" s="16"/>
      <c r="J539" s="16"/>
      <c r="K539" s="116">
        <f>IFERROR(__xludf.DUMMYFUNCTION("""COMPUTED_VALUE"""),25000.0)</f>
        <v>25000</v>
      </c>
      <c r="L539" s="16"/>
      <c r="M539" s="16"/>
      <c r="N539" s="16"/>
      <c r="O539" s="16"/>
      <c r="P539" s="16"/>
      <c r="Q539" s="116">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6">
        <f>IFERROR(__xludf.DUMMYFUNCTION("""COMPUTED_VALUE"""),200000.0)</f>
        <v>200000</v>
      </c>
      <c r="I540" s="16"/>
      <c r="J540" s="16"/>
      <c r="K540" s="16"/>
      <c r="L540" s="16"/>
      <c r="M540" s="16"/>
      <c r="N540" s="16"/>
      <c r="O540" s="16"/>
      <c r="P540" s="16"/>
      <c r="Q540" s="16"/>
      <c r="R540" s="116">
        <f>IFERROR(__xludf.DUMMYFUNCTION("""COMPUTED_VALUE"""),200000.0)</f>
        <v>200000</v>
      </c>
      <c r="S540" s="116">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6">
        <f>IFERROR(__xludf.DUMMYFUNCTION("""COMPUTED_VALUE"""),150000.0)</f>
        <v>150000</v>
      </c>
      <c r="I541" s="16"/>
      <c r="J541" s="16"/>
      <c r="K541" s="116">
        <f>IFERROR(__xludf.DUMMYFUNCTION("""COMPUTED_VALUE"""),75000.0)</f>
        <v>75000</v>
      </c>
      <c r="L541" s="16"/>
      <c r="M541" s="16"/>
      <c r="N541" s="16"/>
      <c r="O541" s="16"/>
      <c r="P541" s="16"/>
      <c r="Q541" s="116">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6">
        <f>IFERROR(__xludf.DUMMYFUNCTION("""COMPUTED_VALUE"""),100000.0)</f>
        <v>100000</v>
      </c>
      <c r="I543" s="16"/>
      <c r="J543" s="16"/>
      <c r="K543" s="116">
        <f>IFERROR(__xludf.DUMMYFUNCTION("""COMPUTED_VALUE"""),50000.0)</f>
        <v>50000</v>
      </c>
      <c r="L543" s="16"/>
      <c r="M543" s="16"/>
      <c r="N543" s="16"/>
      <c r="O543" s="16"/>
      <c r="P543" s="16"/>
      <c r="Q543" s="116">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6">
        <f>IFERROR(__xludf.DUMMYFUNCTION("""COMPUTED_VALUE"""),50000.0)</f>
        <v>50000</v>
      </c>
      <c r="I544" s="16"/>
      <c r="J544" s="16"/>
      <c r="K544" s="116">
        <f>IFERROR(__xludf.DUMMYFUNCTION("""COMPUTED_VALUE"""),25000.0)</f>
        <v>25000</v>
      </c>
      <c r="L544" s="16"/>
      <c r="M544" s="16"/>
      <c r="N544" s="16"/>
      <c r="O544" s="16"/>
      <c r="P544" s="16"/>
      <c r="Q544" s="116">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6">
        <f>IFERROR(__xludf.DUMMYFUNCTION("""COMPUTED_VALUE"""),50000.0)</f>
        <v>50000</v>
      </c>
      <c r="I545" s="16"/>
      <c r="J545" s="16"/>
      <c r="K545" s="116">
        <f>IFERROR(__xludf.DUMMYFUNCTION("""COMPUTED_VALUE"""),25000.0)</f>
        <v>25000</v>
      </c>
      <c r="L545" s="16"/>
      <c r="M545" s="16"/>
      <c r="N545" s="16"/>
      <c r="O545" s="16"/>
      <c r="P545" s="16"/>
      <c r="Q545" s="116">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6">
        <f>IFERROR(__xludf.DUMMYFUNCTION("""COMPUTED_VALUE"""),50000.0)</f>
        <v>50000</v>
      </c>
      <c r="I546" s="16"/>
      <c r="J546" s="16"/>
      <c r="K546" s="116">
        <f>IFERROR(__xludf.DUMMYFUNCTION("""COMPUTED_VALUE"""),25000.0)</f>
        <v>25000</v>
      </c>
      <c r="L546" s="16"/>
      <c r="M546" s="16"/>
      <c r="N546" s="16"/>
      <c r="O546" s="16"/>
      <c r="P546" s="16"/>
      <c r="Q546" s="116">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6">
        <f>IFERROR(__xludf.DUMMYFUNCTION("""COMPUTED_VALUE"""),25000.0)</f>
        <v>25000</v>
      </c>
      <c r="I549" s="116">
        <f>IFERROR(__xludf.DUMMYFUNCTION("""COMPUTED_VALUE"""),10000.0)</f>
        <v>10000</v>
      </c>
      <c r="J549" s="16"/>
      <c r="K549" s="116">
        <f>IFERROR(__xludf.DUMMYFUNCTION("""COMPUTED_VALUE"""),5000.0)</f>
        <v>5000</v>
      </c>
      <c r="L549" s="16"/>
      <c r="M549" s="16"/>
      <c r="N549" s="16"/>
      <c r="O549" s="16"/>
      <c r="P549" s="16"/>
      <c r="Q549" s="16"/>
      <c r="R549" s="16"/>
      <c r="S549" s="116">
        <f>IFERROR(__xludf.DUMMYFUNCTION("""COMPUTED_VALUE"""),25000.0)</f>
        <v>25000</v>
      </c>
      <c r="T549" s="16"/>
      <c r="U549" s="16"/>
      <c r="V549" s="16"/>
      <c r="W549" s="16"/>
      <c r="X549" s="16"/>
      <c r="Y549" s="16"/>
      <c r="Z549" s="16"/>
      <c r="AA549" s="16"/>
      <c r="AB549" s="16"/>
      <c r="AC549" s="116">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6">
        <f>IFERROR(__xludf.DUMMYFUNCTION("""COMPUTED_VALUE"""),25000.0)</f>
        <v>25000</v>
      </c>
      <c r="I550" s="116">
        <f>IFERROR(__xludf.DUMMYFUNCTION("""COMPUTED_VALUE"""),10000.0)</f>
        <v>10000</v>
      </c>
      <c r="J550" s="16"/>
      <c r="K550" s="116">
        <f>IFERROR(__xludf.DUMMYFUNCTION("""COMPUTED_VALUE"""),5000.0)</f>
        <v>5000</v>
      </c>
      <c r="L550" s="16"/>
      <c r="M550" s="16"/>
      <c r="N550" s="16"/>
      <c r="O550" s="16"/>
      <c r="P550" s="16"/>
      <c r="Q550" s="16"/>
      <c r="R550" s="16"/>
      <c r="S550" s="116">
        <f>IFERROR(__xludf.DUMMYFUNCTION("""COMPUTED_VALUE"""),25000.0)</f>
        <v>25000</v>
      </c>
      <c r="T550" s="16"/>
      <c r="U550" s="16"/>
      <c r="V550" s="16"/>
      <c r="W550" s="16"/>
      <c r="X550" s="16"/>
      <c r="Y550" s="16"/>
      <c r="Z550" s="16"/>
      <c r="AA550" s="16"/>
      <c r="AB550" s="16"/>
      <c r="AC550" s="116">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6">
        <f>IFERROR(__xludf.DUMMYFUNCTION("""COMPUTED_VALUE"""),35000.0)</f>
        <v>35000</v>
      </c>
      <c r="I551" s="116">
        <f>IFERROR(__xludf.DUMMYFUNCTION("""COMPUTED_VALUE"""),15000.0)</f>
        <v>15000</v>
      </c>
      <c r="J551" s="16"/>
      <c r="K551" s="116">
        <f>IFERROR(__xludf.DUMMYFUNCTION("""COMPUTED_VALUE"""),5000.0)</f>
        <v>5000</v>
      </c>
      <c r="L551" s="16"/>
      <c r="M551" s="16"/>
      <c r="N551" s="16"/>
      <c r="O551" s="16"/>
      <c r="P551" s="16"/>
      <c r="Q551" s="16"/>
      <c r="R551" s="16"/>
      <c r="S551" s="116">
        <f>IFERROR(__xludf.DUMMYFUNCTION("""COMPUTED_VALUE"""),30000.0)</f>
        <v>30000</v>
      </c>
      <c r="T551" s="16"/>
      <c r="U551" s="16"/>
      <c r="V551" s="16"/>
      <c r="W551" s="16"/>
      <c r="X551" s="16"/>
      <c r="Y551" s="16"/>
      <c r="Z551" s="16"/>
      <c r="AA551" s="16"/>
      <c r="AB551" s="16"/>
      <c r="AC551" s="116">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6">
        <f>IFERROR(__xludf.DUMMYFUNCTION("""COMPUTED_VALUE"""),25000.0)</f>
        <v>25000</v>
      </c>
      <c r="I552" s="116">
        <f>IFERROR(__xludf.DUMMYFUNCTION("""COMPUTED_VALUE"""),10000.0)</f>
        <v>10000</v>
      </c>
      <c r="J552" s="16"/>
      <c r="K552" s="116">
        <f>IFERROR(__xludf.DUMMYFUNCTION("""COMPUTED_VALUE"""),5000.0)</f>
        <v>5000</v>
      </c>
      <c r="L552" s="16"/>
      <c r="M552" s="16"/>
      <c r="N552" s="16"/>
      <c r="O552" s="16"/>
      <c r="P552" s="16"/>
      <c r="Q552" s="16"/>
      <c r="R552" s="16"/>
      <c r="S552" s="116">
        <f>IFERROR(__xludf.DUMMYFUNCTION("""COMPUTED_VALUE"""),25000.0)</f>
        <v>25000</v>
      </c>
      <c r="T552" s="16"/>
      <c r="U552" s="16"/>
      <c r="V552" s="16"/>
      <c r="W552" s="16"/>
      <c r="X552" s="16"/>
      <c r="Y552" s="16"/>
      <c r="Z552" s="16"/>
      <c r="AA552" s="16"/>
      <c r="AB552" s="16"/>
      <c r="AC552" s="116">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6">
        <f>IFERROR(__xludf.DUMMYFUNCTION("""COMPUTED_VALUE"""),50000.0)</f>
        <v>50000</v>
      </c>
      <c r="I553" s="116">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6">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6">
        <f>IFERROR(__xludf.DUMMYFUNCTION("""COMPUTED_VALUE"""),50000.0)</f>
        <v>50000</v>
      </c>
      <c r="I554" s="116">
        <f>IFERROR(__xludf.DUMMYFUNCTION("""COMPUTED_VALUE"""),25000.0)</f>
        <v>25000</v>
      </c>
      <c r="J554" s="16"/>
      <c r="K554" s="116">
        <f>IFERROR(__xludf.DUMMYFUNCTION("""COMPUTED_VALUE"""),15000.0)</f>
        <v>15000</v>
      </c>
      <c r="L554" s="16"/>
      <c r="M554" s="16"/>
      <c r="N554" s="16"/>
      <c r="O554" s="16"/>
      <c r="P554" s="16"/>
      <c r="Q554" s="16"/>
      <c r="R554" s="16"/>
      <c r="S554" s="116">
        <f>IFERROR(__xludf.DUMMYFUNCTION("""COMPUTED_VALUE"""),50000.0)</f>
        <v>50000</v>
      </c>
      <c r="T554" s="16"/>
      <c r="U554" s="16"/>
      <c r="V554" s="16"/>
      <c r="W554" s="16"/>
      <c r="X554" s="16"/>
      <c r="Y554" s="16"/>
      <c r="Z554" s="16"/>
      <c r="AA554" s="16"/>
      <c r="AB554" s="16"/>
      <c r="AC554" s="116">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6">
        <f>IFERROR(__xludf.DUMMYFUNCTION("""COMPUTED_VALUE"""),25000.0)</f>
        <v>25000</v>
      </c>
      <c r="I555" s="116">
        <f>IFERROR(__xludf.DUMMYFUNCTION("""COMPUTED_VALUE"""),10000.0)</f>
        <v>10000</v>
      </c>
      <c r="J555" s="16"/>
      <c r="K555" s="116">
        <f>IFERROR(__xludf.DUMMYFUNCTION("""COMPUTED_VALUE"""),5000.0)</f>
        <v>5000</v>
      </c>
      <c r="L555" s="16"/>
      <c r="M555" s="16"/>
      <c r="N555" s="16"/>
      <c r="O555" s="16"/>
      <c r="P555" s="16"/>
      <c r="Q555" s="16"/>
      <c r="R555" s="16"/>
      <c r="S555" s="116">
        <f>IFERROR(__xludf.DUMMYFUNCTION("""COMPUTED_VALUE"""),25000.0)</f>
        <v>25000</v>
      </c>
      <c r="T555" s="16"/>
      <c r="U555" s="16"/>
      <c r="V555" s="16"/>
      <c r="W555" s="16"/>
      <c r="X555" s="16"/>
      <c r="Y555" s="16"/>
      <c r="Z555" s="16"/>
      <c r="AA555" s="16"/>
      <c r="AB555" s="16"/>
      <c r="AC555" s="116">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6">
        <f>IFERROR(__xludf.DUMMYFUNCTION("""COMPUTED_VALUE"""),25000.0)</f>
        <v>25000</v>
      </c>
      <c r="I556" s="116">
        <f>IFERROR(__xludf.DUMMYFUNCTION("""COMPUTED_VALUE"""),10000.0)</f>
        <v>10000</v>
      </c>
      <c r="J556" s="16"/>
      <c r="K556" s="116">
        <f>IFERROR(__xludf.DUMMYFUNCTION("""COMPUTED_VALUE"""),5000.0)</f>
        <v>5000</v>
      </c>
      <c r="L556" s="16"/>
      <c r="M556" s="16"/>
      <c r="N556" s="16"/>
      <c r="O556" s="16"/>
      <c r="P556" s="16"/>
      <c r="Q556" s="16"/>
      <c r="R556" s="16"/>
      <c r="S556" s="116">
        <f>IFERROR(__xludf.DUMMYFUNCTION("""COMPUTED_VALUE"""),25000.0)</f>
        <v>25000</v>
      </c>
      <c r="T556" s="16"/>
      <c r="U556" s="16"/>
      <c r="V556" s="16"/>
      <c r="W556" s="16"/>
      <c r="X556" s="16"/>
      <c r="Y556" s="16"/>
      <c r="Z556" s="16"/>
      <c r="AA556" s="16"/>
      <c r="AB556" s="16"/>
      <c r="AC556" s="116">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6">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6">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6">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6">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6">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6">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6">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6">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6">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6">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6">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6">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6">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6">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6">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6">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6">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6">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6">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6">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6">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6">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6">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6">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6">
        <f>IFERROR(__xludf.DUMMYFUNCTION("""COMPUTED_VALUE"""),75000.0)</f>
        <v>75000</v>
      </c>
      <c r="I583" s="16"/>
      <c r="J583" s="16"/>
      <c r="K583" s="16"/>
      <c r="L583" s="16"/>
      <c r="M583" s="16"/>
      <c r="N583" s="16"/>
      <c r="O583" s="16"/>
      <c r="P583" s="16"/>
      <c r="Q583" s="16"/>
      <c r="R583" s="16"/>
      <c r="S583" s="16"/>
      <c r="T583" s="16"/>
      <c r="U583" s="16"/>
      <c r="V583" s="16"/>
      <c r="W583" s="16"/>
      <c r="X583" s="116">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6">
        <f>IFERROR(__xludf.DUMMYFUNCTION("""COMPUTED_VALUE"""),75000.0)</f>
        <v>75000</v>
      </c>
      <c r="I584" s="16"/>
      <c r="J584" s="16"/>
      <c r="K584" s="16"/>
      <c r="L584" s="16"/>
      <c r="M584" s="16"/>
      <c r="N584" s="16"/>
      <c r="O584" s="16"/>
      <c r="P584" s="16"/>
      <c r="Q584" s="16"/>
      <c r="R584" s="16"/>
      <c r="S584" s="16"/>
      <c r="T584" s="16"/>
      <c r="U584" s="16"/>
      <c r="V584" s="16"/>
      <c r="W584" s="16"/>
      <c r="X584" s="116">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6">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6">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6">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6">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6">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6">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6">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6">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6">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6">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6">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6">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6">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6">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6">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6">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6">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6">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6">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6">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6">
        <f>IFERROR(__xludf.DUMMYFUNCTION("""COMPUTED_VALUE"""),200000.0)</f>
        <v>200000</v>
      </c>
      <c r="I606" s="16"/>
      <c r="J606" s="16"/>
      <c r="K606" s="16"/>
      <c r="L606" s="16"/>
      <c r="M606" s="16"/>
      <c r="N606" s="116">
        <f>IFERROR(__xludf.DUMMYFUNCTION("""COMPUTED_VALUE"""),100000.0)</f>
        <v>100000</v>
      </c>
      <c r="O606" s="16"/>
      <c r="P606" s="16"/>
      <c r="Q606" s="16"/>
      <c r="R606" s="16"/>
      <c r="S606" s="16"/>
      <c r="T606" s="16"/>
      <c r="U606" s="16"/>
      <c r="V606" s="16"/>
      <c r="W606" s="16"/>
      <c r="X606" s="16"/>
      <c r="Y606" s="16"/>
      <c r="Z606" s="16"/>
      <c r="AA606" s="16"/>
      <c r="AB606" s="116">
        <f>IFERROR(__xludf.DUMMYFUNCTION("""COMPUTED_VALUE"""),200000.0)</f>
        <v>200000</v>
      </c>
      <c r="AC606" s="116">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6">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6">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6">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6">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6">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6">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6">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6">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6">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6">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6">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6">
        <f>IFERROR(__xludf.DUMMYFUNCTION("""COMPUTED_VALUE"""),5000.0)</f>
        <v>5000</v>
      </c>
      <c r="I629" s="16"/>
      <c r="J629" s="16"/>
      <c r="K629" s="16"/>
      <c r="L629" s="16"/>
      <c r="M629" s="16"/>
      <c r="N629" s="116">
        <f>IFERROR(__xludf.DUMMYFUNCTION("""COMPUTED_VALUE"""),2500.0)</f>
        <v>2500</v>
      </c>
      <c r="O629" s="16"/>
      <c r="P629" s="16"/>
      <c r="Q629" s="116">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6">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6">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6">
        <f>IFERROR(__xludf.DUMMYFUNCTION("""COMPUTED_VALUE"""),50000.0)</f>
        <v>50000</v>
      </c>
      <c r="I638" s="16"/>
      <c r="J638" s="16"/>
      <c r="K638" s="16"/>
      <c r="L638" s="16"/>
      <c r="M638" s="16"/>
      <c r="N638" s="16"/>
      <c r="O638" s="16"/>
      <c r="P638" s="16"/>
      <c r="Q638" s="16"/>
      <c r="R638" s="16"/>
      <c r="S638" s="16"/>
      <c r="T638" s="16"/>
      <c r="U638" s="16"/>
      <c r="V638" s="16"/>
      <c r="W638" s="16"/>
      <c r="X638" s="16"/>
      <c r="Y638" s="116">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6">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6">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6">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6">
        <f>IFERROR(__xludf.DUMMYFUNCTION("""COMPUTED_VALUE"""),20000.0)</f>
        <v>20000</v>
      </c>
      <c r="J642" s="116">
        <f>IFERROR(__xludf.DUMMYFUNCTION("""COMPUTED_VALUE"""),20000.0)</f>
        <v>20000</v>
      </c>
      <c r="K642" s="116">
        <f>IFERROR(__xludf.DUMMYFUNCTION("""COMPUTED_VALUE"""),20000.0)</f>
        <v>20000</v>
      </c>
      <c r="L642" s="116">
        <f>IFERROR(__xludf.DUMMYFUNCTION("""COMPUTED_VALUE"""),20000.0)</f>
        <v>20000</v>
      </c>
      <c r="M642" s="116">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6">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6">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6">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6">
        <f>IFERROR(__xludf.DUMMYFUNCTION("""COMPUTED_VALUE"""),50000.0)</f>
        <v>50000</v>
      </c>
      <c r="L698" s="116">
        <f>IFERROR(__xludf.DUMMYFUNCTION("""COMPUTED_VALUE"""),50000.0)</f>
        <v>50000</v>
      </c>
      <c r="M698" s="16"/>
      <c r="N698" s="16"/>
      <c r="O698" s="16"/>
      <c r="P698" s="16"/>
      <c r="Q698" s="16"/>
      <c r="R698" s="16"/>
      <c r="S698" s="16"/>
      <c r="T698" s="16"/>
      <c r="U698" s="16"/>
      <c r="V698" s="16"/>
      <c r="W698" s="16"/>
      <c r="X698" s="16"/>
      <c r="Y698" s="16"/>
      <c r="Z698" s="16"/>
      <c r="AA698" s="16"/>
      <c r="AB698" s="16"/>
      <c r="AC698" s="116">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6">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6">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6">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6">
        <f>IFERROR(__xludf.DUMMYFUNCTION("""COMPUTED_VALUE"""),50000.0)</f>
        <v>50000</v>
      </c>
      <c r="I709" s="16"/>
      <c r="J709" s="16"/>
      <c r="K709" s="16"/>
      <c r="L709" s="116">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6" t="str">
        <f>IFERROR(__xludf.DUMMYFUNCTION("""COMPUTED_VALUE"""),"DMG")</f>
        <v>DMG</v>
      </c>
      <c r="H710" s="116">
        <f>IFERROR(__xludf.DUMMYFUNCTION("""COMPUTED_VALUE"""),30000.0)</f>
        <v>30000</v>
      </c>
      <c r="I710" s="116">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6">
        <f>IFERROR(__xludf.DUMMYFUNCTION("""COMPUTED_VALUE"""),10000.0)</f>
        <v>10000</v>
      </c>
      <c r="I711" s="16"/>
      <c r="J711" s="16"/>
      <c r="K711" s="16"/>
      <c r="L711" s="16"/>
      <c r="M711" s="16"/>
      <c r="N711" s="16"/>
      <c r="O711" s="16"/>
      <c r="P711" s="16"/>
      <c r="Q711" s="16"/>
      <c r="R711" s="16"/>
      <c r="S711" s="16"/>
      <c r="T711" s="16"/>
      <c r="U711" s="16"/>
      <c r="V711" s="16"/>
      <c r="W711" s="16"/>
      <c r="X711" s="16"/>
      <c r="Y711" s="116">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6">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6">
        <f>IFERROR(__xludf.DUMMYFUNCTION("""COMPUTED_VALUE"""),20000.0)</f>
        <v>20000</v>
      </c>
      <c r="I713" s="16"/>
      <c r="J713" s="16"/>
      <c r="K713" s="16"/>
      <c r="L713" s="16"/>
      <c r="M713" s="16"/>
      <c r="N713" s="16"/>
      <c r="O713" s="16"/>
      <c r="P713" s="16"/>
      <c r="Q713" s="16"/>
      <c r="R713" s="16"/>
      <c r="S713" s="16"/>
      <c r="T713" s="16"/>
      <c r="U713" s="16"/>
      <c r="V713" s="16"/>
      <c r="W713" s="16"/>
      <c r="X713" s="16"/>
      <c r="Y713" s="116">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6">
        <f>IFERROR(__xludf.DUMMYFUNCTION("""COMPUTED_VALUE"""),10000.0)</f>
        <v>10000</v>
      </c>
      <c r="I714" s="16"/>
      <c r="J714" s="16"/>
      <c r="K714" s="16"/>
      <c r="L714" s="16"/>
      <c r="M714" s="16"/>
      <c r="N714" s="16"/>
      <c r="O714" s="16"/>
      <c r="P714" s="16"/>
      <c r="Q714" s="16"/>
      <c r="R714" s="16"/>
      <c r="S714" s="16"/>
      <c r="T714" s="16"/>
      <c r="U714" s="16"/>
      <c r="V714" s="16"/>
      <c r="W714" s="16"/>
      <c r="X714" s="16"/>
      <c r="Y714" s="116">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6">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6">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6">
        <f>IFERROR(__xludf.DUMMYFUNCTION("""COMPUTED_VALUE"""),50000.0)</f>
        <v>50000</v>
      </c>
      <c r="I718" s="116">
        <f>IFERROR(__xludf.DUMMYFUNCTION("""COMPUTED_VALUE"""),50000.0)</f>
        <v>50000</v>
      </c>
      <c r="J718" s="16"/>
      <c r="K718" s="16"/>
      <c r="L718" s="116">
        <f>IFERROR(__xludf.DUMMYFUNCTION("""COMPUTED_VALUE"""),50000.0)</f>
        <v>50000</v>
      </c>
      <c r="M718" s="116">
        <f>IFERROR(__xludf.DUMMYFUNCTION("""COMPUTED_VALUE"""),50000.0)</f>
        <v>50000</v>
      </c>
      <c r="N718" s="16"/>
      <c r="O718" s="16"/>
      <c r="P718" s="16"/>
      <c r="Q718" s="16"/>
      <c r="R718" s="16"/>
      <c r="S718" s="16"/>
      <c r="T718" s="16"/>
      <c r="U718" s="16"/>
      <c r="V718" s="16"/>
      <c r="W718" s="16"/>
      <c r="X718" s="16"/>
      <c r="Y718" s="16"/>
      <c r="Z718" s="16"/>
      <c r="AA718" s="16"/>
      <c r="AB718" s="16"/>
      <c r="AC718" s="116">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6">
        <f>IFERROR(__xludf.DUMMYFUNCTION("""COMPUTED_VALUE"""),75000.0)</f>
        <v>75000</v>
      </c>
      <c r="I719" s="116">
        <f>IFERROR(__xludf.DUMMYFUNCTION("""COMPUTED_VALUE"""),75000.0)</f>
        <v>75000</v>
      </c>
      <c r="J719" s="16"/>
      <c r="K719" s="16"/>
      <c r="L719" s="16"/>
      <c r="M719" s="116">
        <f>IFERROR(__xludf.DUMMYFUNCTION("""COMPUTED_VALUE"""),75000.0)</f>
        <v>75000</v>
      </c>
      <c r="N719" s="16"/>
      <c r="O719" s="16"/>
      <c r="P719" s="16"/>
      <c r="Q719" s="16"/>
      <c r="R719" s="16"/>
      <c r="S719" s="16"/>
      <c r="T719" s="16"/>
      <c r="U719" s="16"/>
      <c r="V719" s="16"/>
      <c r="W719" s="16"/>
      <c r="X719" s="16"/>
      <c r="Y719" s="16"/>
      <c r="Z719" s="16"/>
      <c r="AA719" s="16"/>
      <c r="AB719" s="16"/>
      <c r="AC719" s="116">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6">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6">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6">
        <f>IFERROR(__xludf.DUMMYFUNCTION("""COMPUTED_VALUE"""),25000.0)</f>
        <v>25000</v>
      </c>
      <c r="I721" s="116">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6">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6">
        <f>IFERROR(__xludf.DUMMYFUNCTION("""COMPUTED_VALUE"""),25000.0)</f>
        <v>25000</v>
      </c>
      <c r="I722" s="116">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6">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6">
        <f>IFERROR(__xludf.DUMMYFUNCTION("""COMPUTED_VALUE"""),25000.0)</f>
        <v>25000</v>
      </c>
      <c r="I723" s="116">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6">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6">
        <f>IFERROR(__xludf.DUMMYFUNCTION("""COMPUTED_VALUE"""),25000.0)</f>
        <v>25000</v>
      </c>
      <c r="I724" s="116">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6">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6">
        <f>IFERROR(__xludf.DUMMYFUNCTION("""COMPUTED_VALUE"""),25000.0)</f>
        <v>25000</v>
      </c>
      <c r="I725" s="116">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6">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6">
        <f>IFERROR(__xludf.DUMMYFUNCTION("""COMPUTED_VALUE"""),25000.0)</f>
        <v>25000</v>
      </c>
      <c r="I726" s="116">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6">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6">
        <f>IFERROR(__xludf.DUMMYFUNCTION("""COMPUTED_VALUE"""),20000.0)</f>
        <v>20000</v>
      </c>
      <c r="I727" s="16"/>
      <c r="J727" s="16"/>
      <c r="K727" s="16"/>
      <c r="L727" s="16"/>
      <c r="M727" s="16"/>
      <c r="N727" s="116">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6">
        <f>IFERROR(__xludf.DUMMYFUNCTION("""COMPUTED_VALUE"""),20000.0)</f>
        <v>20000</v>
      </c>
      <c r="I728" s="16"/>
      <c r="J728" s="16"/>
      <c r="K728" s="16"/>
      <c r="L728" s="16"/>
      <c r="M728" s="16"/>
      <c r="N728" s="116">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6">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48" t="s">
        <v>25</v>
      </c>
      <c r="C1" s="14" t="s">
        <v>26</v>
      </c>
      <c r="D1" s="48" t="s">
        <v>224</v>
      </c>
      <c r="E1" s="48" t="s">
        <v>225</v>
      </c>
      <c r="F1" s="48" t="s">
        <v>27</v>
      </c>
      <c r="G1" s="48" t="s">
        <v>226</v>
      </c>
    </row>
    <row r="2">
      <c r="A2" s="119"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